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filterPrivacy="1" showInkAnnotation="0" codeName="ThisWorkbook"/>
  <xr:revisionPtr revIDLastSave="0" documentId="13_ncr:1_{9FD7C667-7CF1-4842-BEBD-C8C7B01E37BF}" xr6:coauthVersionLast="47" xr6:coauthVersionMax="47" xr10:uidLastSave="{00000000-0000-0000-0000-000000000000}"/>
  <bookViews>
    <workbookView xWindow="-120" yWindow="-120" windowWidth="29040" windowHeight="15840" tabRatio="796" xr2:uid="{00000000-000D-0000-FFFF-FFFF00000000}"/>
  </bookViews>
  <sheets>
    <sheet name="Libertas 7" sheetId="40" r:id="rId1"/>
    <sheet name="Peer Analysis" sheetId="39" r:id="rId2"/>
    <sheet name="Financial Calendar" sheetId="31"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308" i="40" l="1"/>
  <c r="C303" i="40"/>
  <c r="P153" i="40"/>
  <c r="Q153" i="40"/>
  <c r="R153" i="40" s="1"/>
  <c r="S153" i="40" s="1"/>
  <c r="J300" i="40"/>
  <c r="J301" i="40"/>
  <c r="Q70" i="40"/>
  <c r="R70" i="40" s="1"/>
  <c r="S70" i="40" s="1"/>
  <c r="Q40" i="40"/>
  <c r="P76" i="40"/>
  <c r="P40" i="40"/>
  <c r="Q76" i="40" l="1"/>
  <c r="C43" i="39" l="1"/>
  <c r="D27" i="39" l="1"/>
  <c r="D49" i="39" s="1"/>
  <c r="E27" i="39"/>
  <c r="E49" i="39" s="1"/>
  <c r="C27" i="39"/>
  <c r="C49" i="39" s="1"/>
  <c r="P149" i="40"/>
  <c r="Q149" i="40" s="1"/>
  <c r="R149" i="40" s="1"/>
  <c r="S149" i="40" s="1"/>
  <c r="P171" i="40"/>
  <c r="Q171" i="40" s="1"/>
  <c r="R171" i="40" s="1"/>
  <c r="S171" i="40" s="1"/>
  <c r="P155" i="40"/>
  <c r="Q155" i="40" s="1"/>
  <c r="R155" i="40" s="1"/>
  <c r="S155" i="40" s="1"/>
  <c r="O133" i="40"/>
  <c r="P133" i="40" s="1"/>
  <c r="P144" i="40"/>
  <c r="K91" i="39"/>
  <c r="K92" i="39" s="1"/>
  <c r="E36" i="39"/>
  <c r="E40" i="39"/>
  <c r="K89" i="39"/>
  <c r="K94" i="39"/>
  <c r="C40" i="39"/>
  <c r="D40" i="39"/>
  <c r="J80" i="39"/>
  <c r="J75" i="39"/>
  <c r="J60" i="39"/>
  <c r="J63" i="39"/>
  <c r="J65" i="39"/>
  <c r="P226" i="40"/>
  <c r="Q226" i="40"/>
  <c r="R226" i="40"/>
  <c r="S226" i="40"/>
  <c r="E32" i="39" l="1"/>
  <c r="D32" i="39"/>
  <c r="C32" i="39"/>
  <c r="J78" i="39"/>
  <c r="P274" i="40"/>
  <c r="P126" i="40" s="1"/>
  <c r="P231" i="40"/>
  <c r="P181" i="40"/>
  <c r="P179" i="40"/>
  <c r="P178" i="40"/>
  <c r="P176" i="40"/>
  <c r="P175" i="40"/>
  <c r="P174" i="40"/>
  <c r="P173" i="40"/>
  <c r="P148" i="40"/>
  <c r="P147" i="40"/>
  <c r="P145" i="40"/>
  <c r="P143" i="40"/>
  <c r="Q101" i="40"/>
  <c r="R101" i="40" s="1"/>
  <c r="S101" i="40" s="1"/>
  <c r="P77" i="40"/>
  <c r="P41" i="40"/>
  <c r="P39" i="40"/>
  <c r="P88" i="40" s="1"/>
  <c r="E50" i="39" l="1"/>
  <c r="E51" i="39"/>
  <c r="D51" i="39"/>
  <c r="D50" i="39"/>
  <c r="C50" i="39"/>
  <c r="C51" i="39"/>
  <c r="P44" i="40"/>
  <c r="Q44" i="40"/>
  <c r="R44" i="40"/>
  <c r="S44" i="40"/>
  <c r="O224" i="40"/>
  <c r="O209" i="40"/>
  <c r="O170" i="40"/>
  <c r="O126" i="40"/>
  <c r="O90" i="40"/>
  <c r="O79" i="40"/>
  <c r="O70" i="40"/>
  <c r="P70" i="40" s="1"/>
  <c r="O42" i="40"/>
  <c r="O131" i="40"/>
  <c r="P131" i="40" s="1"/>
  <c r="O151" i="40"/>
  <c r="O157" i="40"/>
  <c r="O177" i="40"/>
  <c r="O182" i="40"/>
  <c r="O219" i="40"/>
  <c r="O227" i="40"/>
  <c r="O237" i="40"/>
  <c r="O236" i="40" s="1"/>
  <c r="P111" i="40" s="1"/>
  <c r="O241" i="40"/>
  <c r="O240" i="40" s="1"/>
  <c r="O265" i="40"/>
  <c r="O277" i="40"/>
  <c r="O278" i="40"/>
  <c r="O279" i="40"/>
  <c r="O275" i="40"/>
  <c r="O286" i="40" s="1"/>
  <c r="P146" i="40" l="1"/>
  <c r="P93" i="40" s="1"/>
  <c r="Q131" i="40"/>
  <c r="S279" i="40"/>
  <c r="P71" i="40"/>
  <c r="O132" i="40"/>
  <c r="P132" i="40" s="1"/>
  <c r="Q132" i="40" s="1"/>
  <c r="R132" i="40" s="1"/>
  <c r="S132" i="40" s="1"/>
  <c r="O172" i="40"/>
  <c r="O248" i="40" s="1"/>
  <c r="O285" i="40" s="1"/>
  <c r="O107" i="40"/>
  <c r="O159" i="40"/>
  <c r="O242" i="40"/>
  <c r="O245" i="40"/>
  <c r="J94" i="39"/>
  <c r="J92" i="39"/>
  <c r="J89" i="39"/>
  <c r="I80" i="39"/>
  <c r="I78" i="39"/>
  <c r="I75" i="39"/>
  <c r="H80" i="39"/>
  <c r="H78" i="39"/>
  <c r="H75" i="39"/>
  <c r="I60" i="39"/>
  <c r="I63" i="39"/>
  <c r="I65" i="39"/>
  <c r="N70" i="40"/>
  <c r="O71" i="40" s="1"/>
  <c r="N79" i="40"/>
  <c r="AE151" i="40"/>
  <c r="AE149" i="40"/>
  <c r="AA160" i="40"/>
  <c r="AA162" i="40" s="1"/>
  <c r="N223" i="40"/>
  <c r="N222" i="40"/>
  <c r="N224" i="40"/>
  <c r="P213" i="40" l="1"/>
  <c r="R131" i="40"/>
  <c r="O247" i="40"/>
  <c r="O251" i="40" s="1"/>
  <c r="O184" i="40"/>
  <c r="O185" i="40" s="1"/>
  <c r="O104" i="40"/>
  <c r="O108" i="40"/>
  <c r="O114" i="40"/>
  <c r="O276" i="40"/>
  <c r="O280" i="40" s="1"/>
  <c r="O246" i="40"/>
  <c r="O252" i="40"/>
  <c r="O253" i="40"/>
  <c r="AE152" i="40"/>
  <c r="N209" i="40"/>
  <c r="N277" i="40"/>
  <c r="N278" i="40"/>
  <c r="N279" i="40"/>
  <c r="N275" i="40"/>
  <c r="N265" i="40"/>
  <c r="N237" i="40"/>
  <c r="N236" i="40" s="1"/>
  <c r="N241" i="40"/>
  <c r="N240" i="40" s="1"/>
  <c r="N219" i="40"/>
  <c r="N182" i="40"/>
  <c r="N177" i="40"/>
  <c r="N170" i="40"/>
  <c r="N157" i="40"/>
  <c r="N151" i="40"/>
  <c r="N131" i="40"/>
  <c r="N133" i="40"/>
  <c r="N126" i="40"/>
  <c r="N90" i="40"/>
  <c r="N42" i="40"/>
  <c r="S131" i="40" l="1"/>
  <c r="O192" i="40"/>
  <c r="O208" i="40" s="1"/>
  <c r="O210" i="40" s="1"/>
  <c r="O118" i="40"/>
  <c r="O120" i="40" s="1"/>
  <c r="O116" i="40"/>
  <c r="O249" i="40"/>
  <c r="O254" i="40" s="1"/>
  <c r="O105" i="40"/>
  <c r="O284" i="40"/>
  <c r="N245" i="40"/>
  <c r="N172" i="40"/>
  <c r="N248" i="40" s="1"/>
  <c r="N285" i="40" s="1"/>
  <c r="N132" i="40"/>
  <c r="N227" i="40"/>
  <c r="N286" i="40"/>
  <c r="N107" i="40"/>
  <c r="N242" i="40"/>
  <c r="O243" i="40" s="1"/>
  <c r="N159" i="40"/>
  <c r="N247" i="40" s="1"/>
  <c r="N251" i="40" s="1"/>
  <c r="J302" i="40"/>
  <c r="N253" i="40" l="1"/>
  <c r="N252" i="40"/>
  <c r="O283" i="40"/>
  <c r="O255" i="40"/>
  <c r="O282" i="40"/>
  <c r="O123" i="40"/>
  <c r="O121" i="40"/>
  <c r="O287" i="40"/>
  <c r="O234" i="40"/>
  <c r="O230" i="40"/>
  <c r="N184" i="40"/>
  <c r="N185" i="40" s="1"/>
  <c r="N108" i="40"/>
  <c r="N114" i="40"/>
  <c r="N104" i="40"/>
  <c r="N246" i="40"/>
  <c r="N276" i="40"/>
  <c r="N280" i="40" s="1"/>
  <c r="R40" i="40"/>
  <c r="I94" i="39"/>
  <c r="I92" i="39"/>
  <c r="I89" i="39"/>
  <c r="S40" i="40" l="1"/>
  <c r="R76" i="40"/>
  <c r="O129" i="40"/>
  <c r="N105" i="40"/>
  <c r="N249" i="40"/>
  <c r="N254" i="40" s="1"/>
  <c r="N116" i="40"/>
  <c r="N118" i="40"/>
  <c r="N120" i="40" s="1"/>
  <c r="N192" i="40"/>
  <c r="N208" i="40" s="1"/>
  <c r="N210" i="40" s="1"/>
  <c r="N230" i="40" s="1"/>
  <c r="N284" i="40"/>
  <c r="C302" i="40"/>
  <c r="Q273" i="40"/>
  <c r="R273" i="40" s="1"/>
  <c r="S273" i="40" s="1"/>
  <c r="C301" i="40"/>
  <c r="C300" i="40"/>
  <c r="M279" i="40"/>
  <c r="L279" i="40"/>
  <c r="K279" i="40"/>
  <c r="J279" i="40"/>
  <c r="I279" i="40"/>
  <c r="H279" i="40"/>
  <c r="G279" i="40"/>
  <c r="F279" i="40"/>
  <c r="E279" i="40"/>
  <c r="B279" i="40"/>
  <c r="S278" i="40"/>
  <c r="R278" i="40"/>
  <c r="Q278" i="40"/>
  <c r="P278" i="40"/>
  <c r="M278" i="40"/>
  <c r="L278" i="40"/>
  <c r="K278" i="40"/>
  <c r="J278" i="40"/>
  <c r="I278" i="40"/>
  <c r="H278" i="40"/>
  <c r="G278" i="40"/>
  <c r="F278" i="40"/>
  <c r="E278" i="40"/>
  <c r="D278" i="40"/>
  <c r="C278" i="40"/>
  <c r="M277" i="40"/>
  <c r="L277" i="40"/>
  <c r="K277" i="40"/>
  <c r="J277" i="40"/>
  <c r="I277" i="40"/>
  <c r="H277" i="40"/>
  <c r="G277" i="40"/>
  <c r="F277" i="40"/>
  <c r="E277" i="40"/>
  <c r="D277" i="40"/>
  <c r="C277" i="40"/>
  <c r="M275" i="40"/>
  <c r="L275" i="40"/>
  <c r="L286" i="40" s="1"/>
  <c r="K275" i="40"/>
  <c r="K286" i="40" s="1"/>
  <c r="J275" i="40"/>
  <c r="J286" i="40" s="1"/>
  <c r="I275" i="40"/>
  <c r="I286" i="40" s="1"/>
  <c r="H275" i="40"/>
  <c r="H286" i="40" s="1"/>
  <c r="G275" i="40"/>
  <c r="F275" i="40"/>
  <c r="E275" i="40"/>
  <c r="D275" i="40"/>
  <c r="D286" i="40" s="1"/>
  <c r="C275" i="40"/>
  <c r="C286" i="40" s="1"/>
  <c r="Q274" i="40"/>
  <c r="Q126" i="40" s="1"/>
  <c r="M265" i="40"/>
  <c r="L265" i="40"/>
  <c r="K265" i="40"/>
  <c r="J265" i="40"/>
  <c r="I265" i="40"/>
  <c r="H265" i="40"/>
  <c r="G265" i="40"/>
  <c r="F265" i="40"/>
  <c r="E265" i="40"/>
  <c r="D265" i="40"/>
  <c r="C264" i="40"/>
  <c r="C265" i="40" s="1"/>
  <c r="M241" i="40"/>
  <c r="M240" i="40" s="1"/>
  <c r="L241" i="40"/>
  <c r="L240" i="40" s="1"/>
  <c r="K241" i="40"/>
  <c r="K240" i="40" s="1"/>
  <c r="J241" i="40"/>
  <c r="J240" i="40" s="1"/>
  <c r="I241" i="40"/>
  <c r="I240" i="40" s="1"/>
  <c r="H241" i="40"/>
  <c r="H240" i="40" s="1"/>
  <c r="G241" i="40"/>
  <c r="G240" i="40" s="1"/>
  <c r="F241" i="40"/>
  <c r="F240" i="40" s="1"/>
  <c r="E241" i="40"/>
  <c r="E240" i="40" s="1"/>
  <c r="D241" i="40"/>
  <c r="D240" i="40" s="1"/>
  <c r="C241" i="40"/>
  <c r="C240" i="40" s="1"/>
  <c r="M237" i="40"/>
  <c r="M236" i="40" s="1"/>
  <c r="L237" i="40"/>
  <c r="L236" i="40" s="1"/>
  <c r="K237" i="40"/>
  <c r="K236" i="40" s="1"/>
  <c r="J237" i="40"/>
  <c r="J236" i="40" s="1"/>
  <c r="J245" i="40" s="1"/>
  <c r="I237" i="40"/>
  <c r="I236" i="40" s="1"/>
  <c r="I245" i="40" s="1"/>
  <c r="H237" i="40"/>
  <c r="H236" i="40" s="1"/>
  <c r="H245" i="40" s="1"/>
  <c r="G237" i="40"/>
  <c r="G236" i="40" s="1"/>
  <c r="F237" i="40"/>
  <c r="F236" i="40" s="1"/>
  <c r="F245" i="40" s="1"/>
  <c r="E237" i="40"/>
  <c r="E236" i="40" s="1"/>
  <c r="E245" i="40" s="1"/>
  <c r="D237" i="40"/>
  <c r="D236" i="40" s="1"/>
  <c r="C237" i="40"/>
  <c r="C236" i="40" s="1"/>
  <c r="M227" i="40"/>
  <c r="L227" i="40"/>
  <c r="J227" i="40"/>
  <c r="H227" i="40"/>
  <c r="G227" i="40"/>
  <c r="F227" i="40"/>
  <c r="E227" i="40"/>
  <c r="D227" i="40"/>
  <c r="C227" i="40"/>
  <c r="I225" i="40"/>
  <c r="I227" i="40" s="1"/>
  <c r="K221" i="40"/>
  <c r="K227" i="40" s="1"/>
  <c r="P219" i="40"/>
  <c r="M219" i="40"/>
  <c r="L219" i="40"/>
  <c r="K219" i="40"/>
  <c r="J219" i="40"/>
  <c r="I219" i="40"/>
  <c r="H219" i="40"/>
  <c r="E219" i="40"/>
  <c r="D219" i="40"/>
  <c r="C219" i="40"/>
  <c r="G215" i="40"/>
  <c r="G219" i="40" s="1"/>
  <c r="F215" i="40"/>
  <c r="F219" i="40" s="1"/>
  <c r="M209" i="40"/>
  <c r="L209" i="40"/>
  <c r="K209" i="40"/>
  <c r="J209" i="40"/>
  <c r="I209" i="40"/>
  <c r="H209" i="40"/>
  <c r="G209" i="40"/>
  <c r="F209" i="40"/>
  <c r="E209" i="40"/>
  <c r="D209" i="40"/>
  <c r="C209" i="40"/>
  <c r="M182" i="40"/>
  <c r="L182" i="40"/>
  <c r="K182" i="40"/>
  <c r="J182" i="40"/>
  <c r="I182" i="40"/>
  <c r="H182" i="40"/>
  <c r="G182" i="40"/>
  <c r="F182" i="40"/>
  <c r="E182" i="40"/>
  <c r="D182" i="40"/>
  <c r="C182" i="40"/>
  <c r="Q181" i="40"/>
  <c r="R181" i="40" s="1"/>
  <c r="S181" i="40" s="1"/>
  <c r="Q179" i="40"/>
  <c r="R179" i="40" s="1"/>
  <c r="S179" i="40" s="1"/>
  <c r="M177" i="40"/>
  <c r="L177" i="40"/>
  <c r="K177" i="40"/>
  <c r="J177" i="40"/>
  <c r="I177" i="40"/>
  <c r="H177" i="40"/>
  <c r="G177" i="40"/>
  <c r="F177" i="40"/>
  <c r="E177" i="40"/>
  <c r="D177" i="40"/>
  <c r="C177" i="40"/>
  <c r="Q176" i="40"/>
  <c r="R176" i="40" s="1"/>
  <c r="S176" i="40" s="1"/>
  <c r="Q175" i="40"/>
  <c r="R175" i="40" s="1"/>
  <c r="S175" i="40" s="1"/>
  <c r="Q174" i="40"/>
  <c r="R174" i="40" s="1"/>
  <c r="S174" i="40" s="1"/>
  <c r="X173" i="40"/>
  <c r="W173" i="40"/>
  <c r="M170" i="40"/>
  <c r="M172" i="40" s="1"/>
  <c r="M248" i="40" s="1"/>
  <c r="L170" i="40"/>
  <c r="L172" i="40" s="1"/>
  <c r="L248" i="40" s="1"/>
  <c r="K170" i="40"/>
  <c r="K172" i="40" s="1"/>
  <c r="K248" i="40" s="1"/>
  <c r="J170" i="40"/>
  <c r="J172" i="40" s="1"/>
  <c r="J248" i="40" s="1"/>
  <c r="I170" i="40"/>
  <c r="I172" i="40" s="1"/>
  <c r="H170" i="40"/>
  <c r="H172" i="40" s="1"/>
  <c r="H248" i="40" s="1"/>
  <c r="G170" i="40"/>
  <c r="G172" i="40" s="1"/>
  <c r="G248" i="40" s="1"/>
  <c r="F170" i="40"/>
  <c r="F172" i="40" s="1"/>
  <c r="F248" i="40" s="1"/>
  <c r="E170" i="40"/>
  <c r="E172" i="40" s="1"/>
  <c r="E248" i="40" s="1"/>
  <c r="D170" i="40"/>
  <c r="D172" i="40" s="1"/>
  <c r="D248" i="40" s="1"/>
  <c r="C170" i="40"/>
  <c r="C172" i="40" s="1"/>
  <c r="C248" i="40" s="1"/>
  <c r="AB160" i="40"/>
  <c r="AB162" i="40" s="1"/>
  <c r="M157" i="40"/>
  <c r="L157" i="40"/>
  <c r="K157" i="40"/>
  <c r="J157" i="40"/>
  <c r="I157" i="40"/>
  <c r="H157" i="40"/>
  <c r="G157" i="40"/>
  <c r="F157" i="40"/>
  <c r="E157" i="40"/>
  <c r="D153" i="40"/>
  <c r="D279" i="40" s="1"/>
  <c r="C153" i="40"/>
  <c r="C279" i="40" s="1"/>
  <c r="AF151" i="40"/>
  <c r="M151" i="40"/>
  <c r="L151" i="40"/>
  <c r="K151" i="40"/>
  <c r="J151" i="40"/>
  <c r="I151" i="40"/>
  <c r="H151" i="40"/>
  <c r="G151" i="40"/>
  <c r="F151" i="40"/>
  <c r="E151" i="40"/>
  <c r="D151" i="40"/>
  <c r="C151" i="40"/>
  <c r="AF149" i="40"/>
  <c r="Q148" i="40"/>
  <c r="R148" i="40" s="1"/>
  <c r="Q145" i="40"/>
  <c r="R145" i="40" s="1"/>
  <c r="S145" i="40" s="1"/>
  <c r="Q133" i="40"/>
  <c r="R133" i="40" s="1"/>
  <c r="S133" i="40" s="1"/>
  <c r="M133" i="40"/>
  <c r="L133" i="40"/>
  <c r="K133" i="40"/>
  <c r="J133" i="40"/>
  <c r="I133" i="40"/>
  <c r="H133" i="40"/>
  <c r="G133" i="40"/>
  <c r="F133" i="40"/>
  <c r="E133" i="40"/>
  <c r="D133" i="40"/>
  <c r="C133" i="40"/>
  <c r="M131" i="40"/>
  <c r="L131" i="40"/>
  <c r="K131" i="40"/>
  <c r="J131" i="40"/>
  <c r="I131" i="40"/>
  <c r="H131" i="40"/>
  <c r="G131" i="40"/>
  <c r="F131" i="40"/>
  <c r="E131" i="40"/>
  <c r="D131" i="40"/>
  <c r="C131" i="40"/>
  <c r="M128" i="40"/>
  <c r="M126" i="40" s="1"/>
  <c r="L126" i="40"/>
  <c r="K126" i="40"/>
  <c r="J126" i="40"/>
  <c r="I126" i="40"/>
  <c r="H126" i="40"/>
  <c r="G126" i="40"/>
  <c r="F126" i="40"/>
  <c r="E126" i="40"/>
  <c r="D126" i="40"/>
  <c r="C126" i="40"/>
  <c r="D112" i="40"/>
  <c r="C112" i="40"/>
  <c r="K111" i="40"/>
  <c r="L92" i="40"/>
  <c r="M90" i="40"/>
  <c r="M107" i="40" s="1"/>
  <c r="M104" i="40" s="1"/>
  <c r="L90" i="40"/>
  <c r="K90" i="40"/>
  <c r="J90" i="40"/>
  <c r="J132" i="40" s="1"/>
  <c r="I90" i="40"/>
  <c r="I132" i="40" s="1"/>
  <c r="H90" i="40"/>
  <c r="G90" i="40"/>
  <c r="G132" i="40" s="1"/>
  <c r="F90" i="40"/>
  <c r="F132" i="40" s="1"/>
  <c r="E90" i="40"/>
  <c r="E132" i="40" s="1"/>
  <c r="D90" i="40"/>
  <c r="C90" i="40"/>
  <c r="M79" i="40"/>
  <c r="L79" i="40"/>
  <c r="K79" i="40"/>
  <c r="J79" i="40"/>
  <c r="I79" i="40"/>
  <c r="H79" i="40"/>
  <c r="G79" i="40"/>
  <c r="F79" i="40"/>
  <c r="E79" i="40"/>
  <c r="D79" i="40"/>
  <c r="C79" i="40"/>
  <c r="Q77" i="40"/>
  <c r="R77" i="40" s="1"/>
  <c r="S77" i="40" s="1"/>
  <c r="M70" i="40"/>
  <c r="N71" i="40" s="1"/>
  <c r="L70" i="40"/>
  <c r="K70" i="40"/>
  <c r="J70" i="40"/>
  <c r="I70" i="40"/>
  <c r="H70" i="40"/>
  <c r="G70" i="40"/>
  <c r="F70" i="40"/>
  <c r="E70" i="40"/>
  <c r="D70" i="40"/>
  <c r="C70" i="40"/>
  <c r="M42" i="40"/>
  <c r="L42" i="40"/>
  <c r="K42" i="40"/>
  <c r="J42" i="40"/>
  <c r="I42" i="40"/>
  <c r="H42" i="40"/>
  <c r="G42" i="40"/>
  <c r="F42" i="40"/>
  <c r="E42" i="40"/>
  <c r="D42" i="40"/>
  <c r="C42" i="40"/>
  <c r="S76" i="40" l="1"/>
  <c r="AF152" i="40"/>
  <c r="M132" i="40"/>
  <c r="N283" i="40"/>
  <c r="K159" i="40"/>
  <c r="J71" i="40"/>
  <c r="N255" i="40"/>
  <c r="N234" i="40"/>
  <c r="N121" i="40"/>
  <c r="N287" i="40"/>
  <c r="N123" i="40"/>
  <c r="O124" i="40" s="1"/>
  <c r="N282" i="40"/>
  <c r="D71" i="40"/>
  <c r="I159" i="40"/>
  <c r="I247" i="40" s="1"/>
  <c r="I251" i="40" s="1"/>
  <c r="Q144" i="40"/>
  <c r="R144" i="40" s="1"/>
  <c r="S144" i="40" s="1"/>
  <c r="L71" i="40"/>
  <c r="G242" i="40"/>
  <c r="G246" i="40" s="1"/>
  <c r="G159" i="40"/>
  <c r="G247" i="40" s="1"/>
  <c r="H159" i="40"/>
  <c r="H247" i="40" s="1"/>
  <c r="H251" i="40" s="1"/>
  <c r="E159" i="40"/>
  <c r="E247" i="40" s="1"/>
  <c r="E251" i="40" s="1"/>
  <c r="M159" i="40"/>
  <c r="M247" i="40" s="1"/>
  <c r="K71" i="40"/>
  <c r="E107" i="40"/>
  <c r="E114" i="40" s="1"/>
  <c r="M285" i="40"/>
  <c r="F71" i="40"/>
  <c r="M71" i="40"/>
  <c r="P38" i="40"/>
  <c r="P97" i="40" s="1"/>
  <c r="G71" i="40"/>
  <c r="D157" i="40"/>
  <c r="D159" i="40" s="1"/>
  <c r="D247" i="40" s="1"/>
  <c r="E71" i="40"/>
  <c r="E285" i="40"/>
  <c r="M245" i="40"/>
  <c r="M253" i="40" s="1"/>
  <c r="J159" i="40"/>
  <c r="J247" i="40" s="1"/>
  <c r="J251" i="40" s="1"/>
  <c r="M108" i="40"/>
  <c r="F107" i="40"/>
  <c r="L159" i="40"/>
  <c r="L247" i="40" s="1"/>
  <c r="I107" i="40"/>
  <c r="I108" i="40" s="1"/>
  <c r="H242" i="40"/>
  <c r="H71" i="40"/>
  <c r="P177" i="40"/>
  <c r="J107" i="40"/>
  <c r="F159" i="40"/>
  <c r="F247" i="40" s="1"/>
  <c r="F251" i="40" s="1"/>
  <c r="G245" i="40"/>
  <c r="G252" i="40" s="1"/>
  <c r="K247" i="40"/>
  <c r="H132" i="40"/>
  <c r="H107" i="40"/>
  <c r="H104" i="40" s="1"/>
  <c r="M249" i="40"/>
  <c r="M105" i="40"/>
  <c r="Q143" i="40"/>
  <c r="I248" i="40"/>
  <c r="I253" i="40" s="1"/>
  <c r="I184" i="40"/>
  <c r="S148" i="40"/>
  <c r="J304" i="40" s="1"/>
  <c r="C107" i="40"/>
  <c r="C104" i="40" s="1"/>
  <c r="C132" i="40"/>
  <c r="K107" i="40"/>
  <c r="K104" i="40" s="1"/>
  <c r="K132" i="40"/>
  <c r="I71" i="40"/>
  <c r="D107" i="40"/>
  <c r="D104" i="40" s="1"/>
  <c r="D132" i="40"/>
  <c r="L107" i="40"/>
  <c r="L104" i="40" s="1"/>
  <c r="L132" i="40"/>
  <c r="H184" i="40"/>
  <c r="D245" i="40"/>
  <c r="D242" i="40"/>
  <c r="G107" i="40"/>
  <c r="G104" i="40" s="1"/>
  <c r="E253" i="40"/>
  <c r="E252" i="40"/>
  <c r="C245" i="40"/>
  <c r="C242" i="40"/>
  <c r="K245" i="40"/>
  <c r="K242" i="40"/>
  <c r="P275" i="40"/>
  <c r="C299" i="40" s="1"/>
  <c r="M114" i="40"/>
  <c r="J184" i="40"/>
  <c r="F253" i="40"/>
  <c r="F252" i="40"/>
  <c r="G286" i="40"/>
  <c r="G285" i="40"/>
  <c r="C184" i="40"/>
  <c r="K184" i="40"/>
  <c r="D184" i="40"/>
  <c r="L184" i="40"/>
  <c r="H252" i="40"/>
  <c r="C157" i="40"/>
  <c r="C159" i="40" s="1"/>
  <c r="E184" i="40"/>
  <c r="M184" i="40"/>
  <c r="F184" i="40"/>
  <c r="J253" i="40"/>
  <c r="J252" i="40"/>
  <c r="R274" i="40"/>
  <c r="Q275" i="40"/>
  <c r="G184" i="40"/>
  <c r="L245" i="40"/>
  <c r="L242" i="40"/>
  <c r="H253" i="40"/>
  <c r="D285" i="40"/>
  <c r="L285" i="40"/>
  <c r="I242" i="40"/>
  <c r="F285" i="40"/>
  <c r="E286" i="40"/>
  <c r="M286" i="40"/>
  <c r="J242" i="40"/>
  <c r="F286" i="40"/>
  <c r="H285" i="40"/>
  <c r="E242" i="40"/>
  <c r="M242" i="40"/>
  <c r="N243" i="40" s="1"/>
  <c r="J285" i="40"/>
  <c r="F242" i="40"/>
  <c r="C285" i="40"/>
  <c r="K285" i="40"/>
  <c r="S274" i="40" l="1"/>
  <c r="R126" i="40"/>
  <c r="P152" i="40"/>
  <c r="P286" i="40"/>
  <c r="K185" i="40"/>
  <c r="H185" i="40"/>
  <c r="G253" i="40"/>
  <c r="M251" i="40"/>
  <c r="G185" i="40"/>
  <c r="M254" i="40"/>
  <c r="J185" i="40"/>
  <c r="E185" i="40"/>
  <c r="G243" i="40"/>
  <c r="G251" i="40"/>
  <c r="G276" i="40"/>
  <c r="G280" i="40" s="1"/>
  <c r="G284" i="40" s="1"/>
  <c r="P220" i="40"/>
  <c r="P227" i="40" s="1"/>
  <c r="N129" i="40"/>
  <c r="H243" i="40"/>
  <c r="I185" i="40"/>
  <c r="M252" i="40"/>
  <c r="M185" i="40"/>
  <c r="I114" i="40"/>
  <c r="I192" i="40" s="1"/>
  <c r="I208" i="40" s="1"/>
  <c r="I210" i="40" s="1"/>
  <c r="I104" i="40"/>
  <c r="I249" i="40" s="1"/>
  <c r="I254" i="40" s="1"/>
  <c r="P74" i="40"/>
  <c r="F114" i="40"/>
  <c r="F104" i="40"/>
  <c r="F105" i="40" s="1"/>
  <c r="F185" i="40"/>
  <c r="H246" i="40"/>
  <c r="H276" i="40"/>
  <c r="H280" i="40" s="1"/>
  <c r="H284" i="40" s="1"/>
  <c r="F108" i="40"/>
  <c r="E104" i="40"/>
  <c r="E108" i="40"/>
  <c r="J114" i="40"/>
  <c r="J104" i="40"/>
  <c r="J249" i="40" s="1"/>
  <c r="J254" i="40" s="1"/>
  <c r="J108" i="40"/>
  <c r="Q146" i="40"/>
  <c r="Q213" i="40" s="1"/>
  <c r="Q219" i="40" s="1"/>
  <c r="Q173" i="40"/>
  <c r="Q177" i="40" s="1"/>
  <c r="D185" i="40"/>
  <c r="I285" i="40"/>
  <c r="L185" i="40"/>
  <c r="E276" i="40"/>
  <c r="E280" i="40" s="1"/>
  <c r="E246" i="40"/>
  <c r="E243" i="40"/>
  <c r="Q178" i="40"/>
  <c r="L276" i="40"/>
  <c r="L280" i="40" s="1"/>
  <c r="L246" i="40"/>
  <c r="L243" i="40"/>
  <c r="P279" i="40"/>
  <c r="I276" i="40"/>
  <c r="I280" i="40" s="1"/>
  <c r="I246" i="40"/>
  <c r="I243" i="40"/>
  <c r="L253" i="40"/>
  <c r="L252" i="40"/>
  <c r="L251" i="40"/>
  <c r="M192" i="40"/>
  <c r="M208" i="40" s="1"/>
  <c r="M210" i="40" s="1"/>
  <c r="M118" i="40"/>
  <c r="M120" i="40" s="1"/>
  <c r="M116" i="40"/>
  <c r="P116" i="40" s="1"/>
  <c r="Q116" i="40" s="1"/>
  <c r="R116" i="40" s="1"/>
  <c r="S116" i="40" s="1"/>
  <c r="C108" i="40"/>
  <c r="C114" i="40"/>
  <c r="C247" i="40"/>
  <c r="C251" i="40" s="1"/>
  <c r="C185" i="40"/>
  <c r="E192" i="40"/>
  <c r="E208" i="40" s="1"/>
  <c r="E210" i="40" s="1"/>
  <c r="E118" i="40"/>
  <c r="E120" i="40" s="1"/>
  <c r="E116" i="40"/>
  <c r="K276" i="40"/>
  <c r="K280" i="40" s="1"/>
  <c r="K246" i="40"/>
  <c r="K243" i="40"/>
  <c r="D108" i="40"/>
  <c r="D114" i="40"/>
  <c r="P89" i="40"/>
  <c r="Q41" i="40"/>
  <c r="K253" i="40"/>
  <c r="K252" i="40"/>
  <c r="K251" i="40"/>
  <c r="G114" i="40"/>
  <c r="G108" i="40"/>
  <c r="Q286" i="40"/>
  <c r="C276" i="40"/>
  <c r="C280" i="40" s="1"/>
  <c r="C246" i="40"/>
  <c r="C253" i="40"/>
  <c r="C252" i="40"/>
  <c r="Q71" i="40"/>
  <c r="I252" i="40"/>
  <c r="P42" i="40"/>
  <c r="P87" i="40"/>
  <c r="P277" i="40"/>
  <c r="Q147" i="40"/>
  <c r="D276" i="40"/>
  <c r="D280" i="40" s="1"/>
  <c r="D246" i="40"/>
  <c r="D243" i="40"/>
  <c r="J276" i="40"/>
  <c r="J280" i="40" s="1"/>
  <c r="J246" i="40"/>
  <c r="J243" i="40"/>
  <c r="D253" i="40"/>
  <c r="D252" i="40"/>
  <c r="D251" i="40"/>
  <c r="F243" i="40"/>
  <c r="F276" i="40"/>
  <c r="F280" i="40" s="1"/>
  <c r="F246" i="40"/>
  <c r="R275" i="40"/>
  <c r="Q39" i="40"/>
  <c r="Q88" i="40" s="1"/>
  <c r="P75" i="40"/>
  <c r="M276" i="40"/>
  <c r="M280" i="40" s="1"/>
  <c r="M283" i="40" s="1"/>
  <c r="M246" i="40"/>
  <c r="M255" i="40" s="1"/>
  <c r="M243" i="40"/>
  <c r="P237" i="40"/>
  <c r="P236" i="40" s="1"/>
  <c r="L108" i="40"/>
  <c r="L114" i="40"/>
  <c r="K108" i="40"/>
  <c r="K114" i="40"/>
  <c r="R143" i="40"/>
  <c r="H114" i="40"/>
  <c r="H108" i="40"/>
  <c r="Q38" i="40"/>
  <c r="Q74" i="40" s="1"/>
  <c r="D46" i="39"/>
  <c r="E46" i="39"/>
  <c r="C46" i="39"/>
  <c r="C93" i="39"/>
  <c r="C94" i="39" s="1"/>
  <c r="C62" i="39"/>
  <c r="C63" i="39" s="1"/>
  <c r="D62" i="39"/>
  <c r="D63" i="39" s="1"/>
  <c r="C75" i="39"/>
  <c r="D75" i="39"/>
  <c r="C78" i="39"/>
  <c r="D78" i="39"/>
  <c r="C80" i="39"/>
  <c r="D80" i="39"/>
  <c r="H94" i="39"/>
  <c r="G94" i="39"/>
  <c r="F94" i="39"/>
  <c r="E94" i="39"/>
  <c r="D94" i="39"/>
  <c r="H92" i="39"/>
  <c r="G92" i="39"/>
  <c r="F92" i="39"/>
  <c r="E92" i="39"/>
  <c r="D92" i="39"/>
  <c r="C92" i="39"/>
  <c r="H89" i="39"/>
  <c r="G89" i="39"/>
  <c r="F89" i="39"/>
  <c r="E89" i="39"/>
  <c r="D89" i="39"/>
  <c r="C89" i="39"/>
  <c r="G80" i="39"/>
  <c r="F80" i="39"/>
  <c r="E80" i="39"/>
  <c r="G78" i="39"/>
  <c r="F78" i="39"/>
  <c r="E78" i="39"/>
  <c r="G75" i="39"/>
  <c r="F75" i="39"/>
  <c r="E75" i="39"/>
  <c r="H65" i="39"/>
  <c r="G65" i="39"/>
  <c r="F65" i="39"/>
  <c r="E65" i="39"/>
  <c r="D65" i="39"/>
  <c r="C65" i="39"/>
  <c r="H63" i="39"/>
  <c r="G63" i="39"/>
  <c r="F63" i="39"/>
  <c r="E63" i="39"/>
  <c r="H60" i="39"/>
  <c r="G60" i="39"/>
  <c r="F60" i="39"/>
  <c r="E60" i="39"/>
  <c r="D60" i="39"/>
  <c r="C60" i="39"/>
  <c r="E37" i="39"/>
  <c r="D37" i="39"/>
  <c r="C37" i="39"/>
  <c r="E35" i="39"/>
  <c r="D35" i="39"/>
  <c r="C35" i="39"/>
  <c r="E26" i="39"/>
  <c r="E43" i="39" s="1"/>
  <c r="D26" i="39"/>
  <c r="D31" i="39" s="1"/>
  <c r="D44" i="39" s="1"/>
  <c r="C26" i="39"/>
  <c r="S275" i="40" l="1"/>
  <c r="S286" i="40" s="1"/>
  <c r="S126" i="40"/>
  <c r="Q97" i="40"/>
  <c r="F249" i="40"/>
  <c r="F254" i="40" s="1"/>
  <c r="I105" i="40"/>
  <c r="I118" i="40"/>
  <c r="I120" i="40" s="1"/>
  <c r="I123" i="40" s="1"/>
  <c r="I116" i="40"/>
  <c r="J105" i="40"/>
  <c r="E249" i="40"/>
  <c r="E254" i="40" s="1"/>
  <c r="E105" i="40"/>
  <c r="F116" i="40"/>
  <c r="F192" i="40"/>
  <c r="F208" i="40" s="1"/>
  <c r="F210" i="40" s="1"/>
  <c r="F118" i="40"/>
  <c r="F120" i="40" s="1"/>
  <c r="J192" i="40"/>
  <c r="J208" i="40" s="1"/>
  <c r="J210" i="40" s="1"/>
  <c r="J116" i="40"/>
  <c r="J118" i="40"/>
  <c r="J120" i="40" s="1"/>
  <c r="Q237" i="40"/>
  <c r="Q236" i="40" s="1"/>
  <c r="Q245" i="40" s="1"/>
  <c r="R173" i="40"/>
  <c r="S173" i="40" s="1"/>
  <c r="R146" i="40"/>
  <c r="R213" i="40" s="1"/>
  <c r="R219" i="40" s="1"/>
  <c r="Q93" i="40"/>
  <c r="E284" i="40"/>
  <c r="D284" i="40"/>
  <c r="K192" i="40"/>
  <c r="K208" i="40" s="1"/>
  <c r="K210" i="40" s="1"/>
  <c r="K116" i="40"/>
  <c r="K118" i="40"/>
  <c r="K120" i="40" s="1"/>
  <c r="R39" i="40"/>
  <c r="R88" i="40" s="1"/>
  <c r="Q75" i="40"/>
  <c r="Q79" i="40" s="1"/>
  <c r="Q114" i="40" s="1"/>
  <c r="J255" i="40"/>
  <c r="M230" i="40"/>
  <c r="M234" i="40"/>
  <c r="H249" i="40"/>
  <c r="H105" i="40"/>
  <c r="R286" i="40"/>
  <c r="J284" i="40"/>
  <c r="J283" i="40"/>
  <c r="P79" i="40"/>
  <c r="P114" i="40" s="1"/>
  <c r="P107" i="40" s="1"/>
  <c r="G118" i="40"/>
  <c r="G120" i="40" s="1"/>
  <c r="G192" i="40"/>
  <c r="G208" i="40" s="1"/>
  <c r="G210" i="40" s="1"/>
  <c r="G116" i="40"/>
  <c r="K284" i="40"/>
  <c r="L249" i="40"/>
  <c r="L254" i="40" s="1"/>
  <c r="L105" i="40"/>
  <c r="F284" i="40"/>
  <c r="P245" i="40"/>
  <c r="Q111" i="40"/>
  <c r="Q220" i="40" s="1"/>
  <c r="Q227" i="40" s="1"/>
  <c r="M287" i="40"/>
  <c r="M123" i="40"/>
  <c r="N124" i="40" s="1"/>
  <c r="M121" i="40"/>
  <c r="M282" i="40"/>
  <c r="I284" i="40"/>
  <c r="I283" i="40"/>
  <c r="R178" i="40"/>
  <c r="K105" i="40"/>
  <c r="K249" i="40"/>
  <c r="K254" i="40" s="1"/>
  <c r="I234" i="40"/>
  <c r="I230" i="40"/>
  <c r="Q279" i="40"/>
  <c r="L192" i="40"/>
  <c r="L208" i="40" s="1"/>
  <c r="L210" i="40" s="1"/>
  <c r="L118" i="40"/>
  <c r="L120" i="40" s="1"/>
  <c r="L116" i="40"/>
  <c r="M284" i="40"/>
  <c r="P90" i="40"/>
  <c r="G249" i="40"/>
  <c r="G105" i="40"/>
  <c r="R41" i="40"/>
  <c r="Q89" i="40"/>
  <c r="C192" i="40"/>
  <c r="C208" i="40" s="1"/>
  <c r="C210" i="40" s="1"/>
  <c r="C116" i="40"/>
  <c r="C118" i="40"/>
  <c r="C120" i="40" s="1"/>
  <c r="H192" i="40"/>
  <c r="H208" i="40" s="1"/>
  <c r="H210" i="40" s="1"/>
  <c r="H118" i="40"/>
  <c r="H120" i="40" s="1"/>
  <c r="H116" i="40"/>
  <c r="E287" i="40"/>
  <c r="E123" i="40"/>
  <c r="E121" i="40"/>
  <c r="E282" i="40"/>
  <c r="P180" i="40"/>
  <c r="R71" i="40"/>
  <c r="R38" i="40"/>
  <c r="R74" i="40" s="1"/>
  <c r="D192" i="40"/>
  <c r="D208" i="40" s="1"/>
  <c r="D210" i="40" s="1"/>
  <c r="D116" i="40"/>
  <c r="D118" i="40"/>
  <c r="D120" i="40" s="1"/>
  <c r="E230" i="40"/>
  <c r="E234" i="40"/>
  <c r="C105" i="40"/>
  <c r="C249" i="40"/>
  <c r="C254" i="40" s="1"/>
  <c r="Q42" i="40"/>
  <c r="Q87" i="40"/>
  <c r="S143" i="40"/>
  <c r="Q277" i="40"/>
  <c r="R147" i="40"/>
  <c r="C284" i="40"/>
  <c r="D249" i="40"/>
  <c r="D254" i="40" s="1"/>
  <c r="D105" i="40"/>
  <c r="I255" i="40"/>
  <c r="L284" i="40"/>
  <c r="C31" i="39"/>
  <c r="D43" i="39"/>
  <c r="E31" i="39"/>
  <c r="D45" i="39"/>
  <c r="P154" i="40" l="1"/>
  <c r="P209" i="40" s="1"/>
  <c r="P98" i="40"/>
  <c r="R97" i="40"/>
  <c r="Q152" i="40"/>
  <c r="P182" i="40"/>
  <c r="I121" i="40"/>
  <c r="R177" i="40"/>
  <c r="F255" i="40"/>
  <c r="I287" i="40"/>
  <c r="F283" i="40"/>
  <c r="R111" i="40"/>
  <c r="R220" i="40" s="1"/>
  <c r="R227" i="40" s="1"/>
  <c r="I282" i="40"/>
  <c r="E283" i="40"/>
  <c r="J282" i="40"/>
  <c r="J287" i="40"/>
  <c r="J123" i="40"/>
  <c r="J129" i="40" s="1"/>
  <c r="J121" i="40"/>
  <c r="E255" i="40"/>
  <c r="J230" i="40"/>
  <c r="J234" i="40"/>
  <c r="L255" i="40"/>
  <c r="F282" i="40"/>
  <c r="F287" i="40"/>
  <c r="F121" i="40"/>
  <c r="F123" i="40"/>
  <c r="F129" i="40" s="1"/>
  <c r="L283" i="40"/>
  <c r="F230" i="40"/>
  <c r="F234" i="40"/>
  <c r="C44" i="39"/>
  <c r="C45" i="39"/>
  <c r="S146" i="40"/>
  <c r="R93" i="40"/>
  <c r="C283" i="40"/>
  <c r="Q90" i="40"/>
  <c r="D283" i="40"/>
  <c r="C255" i="40"/>
  <c r="K255" i="40"/>
  <c r="K283" i="40"/>
  <c r="H287" i="40"/>
  <c r="H282" i="40"/>
  <c r="H123" i="40"/>
  <c r="I124" i="40" s="1"/>
  <c r="H121" i="40"/>
  <c r="S39" i="40"/>
  <c r="S88" i="40" s="1"/>
  <c r="R75" i="40"/>
  <c r="D287" i="40"/>
  <c r="D123" i="40"/>
  <c r="E124" i="40" s="1"/>
  <c r="D121" i="40"/>
  <c r="D282" i="40"/>
  <c r="Q180" i="40"/>
  <c r="Q182" i="40" s="1"/>
  <c r="D255" i="40"/>
  <c r="R89" i="40"/>
  <c r="S41" i="40"/>
  <c r="S89" i="40" s="1"/>
  <c r="S178" i="40"/>
  <c r="S237" i="40" s="1"/>
  <c r="S236" i="40" s="1"/>
  <c r="J306" i="40" s="1"/>
  <c r="P192" i="40"/>
  <c r="P115" i="40"/>
  <c r="P205" i="40" s="1"/>
  <c r="H254" i="40"/>
  <c r="H283" i="40"/>
  <c r="H255" i="40"/>
  <c r="K123" i="40"/>
  <c r="K121" i="40"/>
  <c r="K287" i="40"/>
  <c r="K282" i="40"/>
  <c r="L234" i="40"/>
  <c r="L230" i="40"/>
  <c r="L287" i="40"/>
  <c r="L123" i="40"/>
  <c r="L121" i="40"/>
  <c r="L282" i="40"/>
  <c r="G230" i="40"/>
  <c r="G234" i="40"/>
  <c r="K234" i="40"/>
  <c r="K230" i="40"/>
  <c r="R277" i="40"/>
  <c r="S147" i="40"/>
  <c r="R87" i="40"/>
  <c r="R42" i="40"/>
  <c r="C287" i="40"/>
  <c r="C123" i="40"/>
  <c r="C129" i="40" s="1"/>
  <c r="C121" i="40"/>
  <c r="C282" i="40"/>
  <c r="R279" i="40"/>
  <c r="S177" i="40"/>
  <c r="Q192" i="40"/>
  <c r="Q115" i="40"/>
  <c r="Q205" i="40" s="1"/>
  <c r="Q107" i="40"/>
  <c r="H234" i="40"/>
  <c r="H230" i="40"/>
  <c r="G287" i="40"/>
  <c r="G123" i="40"/>
  <c r="G121" i="40"/>
  <c r="G282" i="40"/>
  <c r="I129" i="40"/>
  <c r="D234" i="40"/>
  <c r="D230" i="40"/>
  <c r="G254" i="40"/>
  <c r="G283" i="40"/>
  <c r="G255" i="40"/>
  <c r="S71" i="40"/>
  <c r="S38" i="40"/>
  <c r="S74" i="40" s="1"/>
  <c r="J299" i="40" s="1"/>
  <c r="E129" i="40"/>
  <c r="C234" i="40"/>
  <c r="C230" i="40"/>
  <c r="C232" i="40" s="1"/>
  <c r="M129" i="40"/>
  <c r="R237" i="40"/>
  <c r="R236" i="40" s="1"/>
  <c r="E44" i="39"/>
  <c r="E45" i="39"/>
  <c r="P104" i="40" l="1"/>
  <c r="P99" i="40" s="1"/>
  <c r="P118" i="40"/>
  <c r="P120" i="40" s="1"/>
  <c r="P170" i="40" s="1"/>
  <c r="Q154" i="40"/>
  <c r="Q209" i="40" s="1"/>
  <c r="S97" i="40"/>
  <c r="S152" i="40" s="1"/>
  <c r="R152" i="40"/>
  <c r="Q118" i="40"/>
  <c r="Q120" i="40" s="1"/>
  <c r="Q208" i="40"/>
  <c r="Q98" i="40"/>
  <c r="S93" i="40"/>
  <c r="S213" i="40"/>
  <c r="S219" i="40" s="1"/>
  <c r="P208" i="40"/>
  <c r="K303" i="40"/>
  <c r="J124" i="40"/>
  <c r="F124" i="40"/>
  <c r="S277" i="40"/>
  <c r="J303" i="40"/>
  <c r="R90" i="40"/>
  <c r="P108" i="40"/>
  <c r="P151" i="40"/>
  <c r="R245" i="40"/>
  <c r="S111" i="40"/>
  <c r="S220" i="40" s="1"/>
  <c r="S227" i="40" s="1"/>
  <c r="S87" i="40"/>
  <c r="S42" i="40"/>
  <c r="G124" i="40"/>
  <c r="G129" i="40"/>
  <c r="S245" i="40"/>
  <c r="R180" i="40"/>
  <c r="R182" i="40" s="1"/>
  <c r="C233" i="40"/>
  <c r="D231" i="40"/>
  <c r="D232" i="40" s="1"/>
  <c r="Q108" i="40"/>
  <c r="Q104" i="40"/>
  <c r="Q99" i="40" s="1"/>
  <c r="R79" i="40"/>
  <c r="R114" i="40" s="1"/>
  <c r="D124" i="40"/>
  <c r="D129" i="40"/>
  <c r="L124" i="40"/>
  <c r="L129" i="40"/>
  <c r="S75" i="40"/>
  <c r="H124" i="40"/>
  <c r="H129" i="40"/>
  <c r="M124" i="40"/>
  <c r="K124" i="40"/>
  <c r="K129" i="40"/>
  <c r="Q170" i="40" l="1"/>
  <c r="Q210" i="40"/>
  <c r="Q230" i="40" s="1"/>
  <c r="P172" i="40"/>
  <c r="P123" i="40"/>
  <c r="P124" i="40" s="1"/>
  <c r="P234" i="40"/>
  <c r="Q121" i="40"/>
  <c r="Q123" i="40"/>
  <c r="Q129" i="40"/>
  <c r="P210" i="40"/>
  <c r="P230" i="40" s="1"/>
  <c r="P232" i="40" s="1"/>
  <c r="P156" i="40" s="1"/>
  <c r="Q234" i="40"/>
  <c r="R154" i="40"/>
  <c r="R209" i="40" s="1"/>
  <c r="Q282" i="40"/>
  <c r="R98" i="40"/>
  <c r="S90" i="40"/>
  <c r="R192" i="40"/>
  <c r="R115" i="40"/>
  <c r="R205" i="40" s="1"/>
  <c r="R107" i="40"/>
  <c r="Q249" i="40"/>
  <c r="Q254" i="40" s="1"/>
  <c r="Q105" i="40"/>
  <c r="S180" i="40"/>
  <c r="S182" i="40" s="1"/>
  <c r="P249" i="40"/>
  <c r="P254" i="40" s="1"/>
  <c r="P105" i="40"/>
  <c r="D233" i="40"/>
  <c r="E231" i="40"/>
  <c r="E232" i="40" s="1"/>
  <c r="P129" i="40"/>
  <c r="P121" i="40"/>
  <c r="P282" i="40"/>
  <c r="Q151" i="40"/>
  <c r="S79" i="40"/>
  <c r="S114" i="40" s="1"/>
  <c r="Q172" i="40" l="1"/>
  <c r="R208" i="40"/>
  <c r="R234" i="40" s="1"/>
  <c r="S98" i="40"/>
  <c r="S154" i="40"/>
  <c r="S209" i="40" s="1"/>
  <c r="R118" i="40"/>
  <c r="R120" i="40" s="1"/>
  <c r="R282" i="40" s="1"/>
  <c r="P233" i="40"/>
  <c r="R151" i="40"/>
  <c r="Q124" i="40"/>
  <c r="S192" i="40"/>
  <c r="S115" i="40"/>
  <c r="S205" i="40" s="1"/>
  <c r="S107" i="40"/>
  <c r="R108" i="40"/>
  <c r="R104" i="40"/>
  <c r="R99" i="40" s="1"/>
  <c r="P241" i="40"/>
  <c r="P240" i="40" s="1"/>
  <c r="P242" i="40" s="1"/>
  <c r="P243" i="40" s="1"/>
  <c r="Q231" i="40"/>
  <c r="Q232" i="40" s="1"/>
  <c r="P157" i="40"/>
  <c r="P159" i="40" s="1"/>
  <c r="E233" i="40"/>
  <c r="F231" i="40"/>
  <c r="F232" i="40" s="1"/>
  <c r="R170" i="40" l="1"/>
  <c r="R210" i="40"/>
  <c r="R230" i="40" s="1"/>
  <c r="S118" i="40"/>
  <c r="S120" i="40" s="1"/>
  <c r="S129" i="40" s="1"/>
  <c r="R121" i="40"/>
  <c r="R123" i="40"/>
  <c r="R124" i="40" s="1"/>
  <c r="R129" i="40"/>
  <c r="S208" i="40"/>
  <c r="S210" i="40" s="1"/>
  <c r="S230" i="40" s="1"/>
  <c r="S151" i="40"/>
  <c r="S108" i="40"/>
  <c r="S104" i="40"/>
  <c r="S99" i="40" s="1"/>
  <c r="P276" i="40"/>
  <c r="P280" i="40" s="1"/>
  <c r="P246" i="40"/>
  <c r="P255" i="40" s="1"/>
  <c r="G231" i="40"/>
  <c r="G232" i="40" s="1"/>
  <c r="F233" i="40"/>
  <c r="P184" i="40"/>
  <c r="P185" i="40" s="1"/>
  <c r="P248" i="40"/>
  <c r="P287" i="40"/>
  <c r="P247" i="40"/>
  <c r="P251" i="40" s="1"/>
  <c r="R249" i="40"/>
  <c r="R254" i="40" s="1"/>
  <c r="R105" i="40"/>
  <c r="Q156" i="40"/>
  <c r="S170" i="40" l="1"/>
  <c r="S172" i="40" s="1"/>
  <c r="R172" i="40"/>
  <c r="S282" i="40"/>
  <c r="S121" i="40"/>
  <c r="S123" i="40"/>
  <c r="S124" i="40" s="1"/>
  <c r="S234" i="40"/>
  <c r="S105" i="40"/>
  <c r="S249" i="40"/>
  <c r="S254" i="40" s="1"/>
  <c r="Q248" i="40"/>
  <c r="Q184" i="40"/>
  <c r="Q287" i="40"/>
  <c r="P285" i="40"/>
  <c r="P252" i="40"/>
  <c r="P253" i="40"/>
  <c r="G233" i="40"/>
  <c r="H231" i="40"/>
  <c r="H232" i="40" s="1"/>
  <c r="P284" i="40"/>
  <c r="P283" i="40"/>
  <c r="R231" i="40"/>
  <c r="R232" i="40" s="1"/>
  <c r="Q241" i="40"/>
  <c r="Q240" i="40" s="1"/>
  <c r="Q242" i="40" s="1"/>
  <c r="Q157" i="40"/>
  <c r="Q159" i="40" s="1"/>
  <c r="Q233" i="40"/>
  <c r="Q247" i="40" l="1"/>
  <c r="Q251" i="40" s="1"/>
  <c r="Q185" i="40"/>
  <c r="Q276" i="40"/>
  <c r="Q280" i="40" s="1"/>
  <c r="Q246" i="40"/>
  <c r="Q255" i="40" s="1"/>
  <c r="Q243" i="40"/>
  <c r="S248" i="40"/>
  <c r="S184" i="40"/>
  <c r="S287" i="40"/>
  <c r="H233" i="40"/>
  <c r="I231" i="40"/>
  <c r="I232" i="40" s="1"/>
  <c r="Q285" i="40"/>
  <c r="Q253" i="40"/>
  <c r="Q252" i="40"/>
  <c r="R248" i="40"/>
  <c r="R184" i="40"/>
  <c r="R287" i="40"/>
  <c r="R156" i="40"/>
  <c r="S285" i="40" l="1"/>
  <c r="S253" i="40"/>
  <c r="S252" i="40"/>
  <c r="R285" i="40"/>
  <c r="R253" i="40"/>
  <c r="R252" i="40"/>
  <c r="Q284" i="40"/>
  <c r="Q283" i="40"/>
  <c r="I233" i="40"/>
  <c r="J231" i="40"/>
  <c r="J232" i="40" s="1"/>
  <c r="S231" i="40"/>
  <c r="S232" i="40" s="1"/>
  <c r="R241" i="40"/>
  <c r="R240" i="40" s="1"/>
  <c r="R242" i="40" s="1"/>
  <c r="R157" i="40"/>
  <c r="R159" i="40" s="1"/>
  <c r="R233" i="40"/>
  <c r="R247" i="40" l="1"/>
  <c r="R251" i="40" s="1"/>
  <c r="R185" i="40"/>
  <c r="S156" i="40"/>
  <c r="J233" i="40"/>
  <c r="K231" i="40"/>
  <c r="K232" i="40" s="1"/>
  <c r="R276" i="40"/>
  <c r="R280" i="40" s="1"/>
  <c r="R246" i="40"/>
  <c r="R255" i="40" s="1"/>
  <c r="R243" i="40"/>
  <c r="J305" i="40" l="1"/>
  <c r="J307" i="40" s="1"/>
  <c r="R284" i="40"/>
  <c r="R283" i="40"/>
  <c r="K233" i="40"/>
  <c r="L231" i="40"/>
  <c r="L232" i="40" s="1"/>
  <c r="S241" i="40"/>
  <c r="S240" i="40" s="1"/>
  <c r="S242" i="40" s="1"/>
  <c r="S157" i="40"/>
  <c r="S159" i="40" s="1"/>
  <c r="S233" i="40"/>
  <c r="S247" i="40" l="1"/>
  <c r="S251" i="40" s="1"/>
  <c r="S185" i="40"/>
  <c r="S276" i="40"/>
  <c r="S280" i="40" s="1"/>
  <c r="S246" i="40"/>
  <c r="S255" i="40" s="1"/>
  <c r="S243" i="40"/>
  <c r="L233" i="40"/>
  <c r="M231" i="40"/>
  <c r="M232" i="40" s="1"/>
  <c r="C305" i="40" l="1"/>
  <c r="M233" i="40"/>
  <c r="N231" i="40"/>
  <c r="N232" i="40" s="1"/>
  <c r="S284" i="40"/>
  <c r="S283" i="40"/>
  <c r="N233" i="40" l="1"/>
  <c r="O231" i="40"/>
  <c r="O232" i="40" s="1"/>
  <c r="O233" i="4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26" authorId="0" shapeId="0" xr:uid="{4FF48D18-B7B0-4249-835D-2BD64D9D8DEF}">
      <text>
        <r>
          <rPr>
            <b/>
            <sz val="10"/>
            <color rgb="FFAD9750"/>
            <rFont val="Tahoma"/>
            <family val="2"/>
          </rPr>
          <t>Tenvalue notes &amp; explanations....</t>
        </r>
      </text>
    </comment>
    <comment ref="P40" authorId="0" shapeId="0" xr:uid="{4DA99A1A-81E1-4BCE-898C-C71A7D318F5B}">
      <text>
        <r>
          <rPr>
            <b/>
            <sz val="9"/>
            <color indexed="81"/>
            <rFont val="Tahoma"/>
            <family val="2"/>
          </rPr>
          <t>Tenvalue:</t>
        </r>
        <r>
          <rPr>
            <sz val="9"/>
            <color indexed="81"/>
            <rFont val="Tahoma"/>
            <family val="2"/>
          </rPr>
          <t xml:space="preserve">
Assuming increases in the occupation rate from 55% to 60% (10%) and price increases of 5%
The Company has resumed the management contract for the Sea You Hotel. As a result, revenue from the tourism segment this year is adversely impacted by the absence of the amount invoiced under this contract in the prior year, which represented 36% of total revenues.
The corresponding amount is expected to be recovered through an insurance claim. In the meantime, the Company is actively seeking new hotel management opportunities to replace the lost revenue stream in future financial years.</t>
        </r>
      </text>
    </comment>
    <comment ref="Q40" authorId="0" shapeId="0" xr:uid="{F922D90B-2129-4AB9-A9A0-34B12A752791}">
      <text>
        <r>
          <rPr>
            <b/>
            <sz val="9"/>
            <color indexed="81"/>
            <rFont val="Tahoma"/>
            <family val="2"/>
          </rPr>
          <t>Tenvalue:</t>
        </r>
        <r>
          <rPr>
            <sz val="9"/>
            <color indexed="81"/>
            <rFont val="Tahoma"/>
            <family val="2"/>
          </rPr>
          <t xml:space="preserve">
Assuming increases in the occupation rate from 60% to 75% (10%) and price increases of 5%
New asset under management in replacement to Sea You Hotel</t>
        </r>
      </text>
    </comment>
    <comment ref="R40" authorId="0" shapeId="0" xr:uid="{594AF91F-C1B1-4A8D-8183-DAD5C89EB388}">
      <text>
        <r>
          <rPr>
            <b/>
            <sz val="9"/>
            <color indexed="81"/>
            <rFont val="Tahoma"/>
            <family val="2"/>
          </rPr>
          <t>Tenvalue:</t>
        </r>
        <r>
          <rPr>
            <sz val="9"/>
            <color indexed="81"/>
            <rFont val="Tahoma"/>
            <family val="2"/>
          </rPr>
          <t xml:space="preserve">
Assuming increases in the occupation rate from 65% to 70% (10%) and price increases of 5%</t>
        </r>
      </text>
    </comment>
    <comment ref="S40" authorId="0" shapeId="0" xr:uid="{39BCFAF9-044C-4E84-A4D2-2CD06B7DF339}">
      <text>
        <r>
          <rPr>
            <b/>
            <sz val="9"/>
            <color indexed="81"/>
            <rFont val="Tahoma"/>
            <family val="2"/>
          </rPr>
          <t>Tenvalue:</t>
        </r>
        <r>
          <rPr>
            <sz val="9"/>
            <color indexed="81"/>
            <rFont val="Tahoma"/>
            <family val="2"/>
          </rPr>
          <t xml:space="preserve">
Assuming price increases of 5%</t>
        </r>
      </text>
    </comment>
    <comment ref="I76" authorId="0" shapeId="0" xr:uid="{661B0DC4-713C-4462-9210-147CFD49F3A8}">
      <text>
        <r>
          <rPr>
            <b/>
            <sz val="9"/>
            <color indexed="81"/>
            <rFont val="Tahoma"/>
            <family val="2"/>
          </rPr>
          <t>Tenvalue:</t>
        </r>
        <r>
          <rPr>
            <sz val="9"/>
            <color indexed="81"/>
            <rFont val="Tahoma"/>
            <family val="2"/>
          </rPr>
          <t xml:space="preserve">
It includes a positive impact of €2.286.000 in the fair value of real estate investment </t>
        </r>
      </text>
    </comment>
    <comment ref="L76" authorId="0" shapeId="0" xr:uid="{44F0B2C0-4D28-4AC7-BCBA-D7A1BE93F734}">
      <text>
        <r>
          <rPr>
            <b/>
            <sz val="9"/>
            <color indexed="81"/>
            <rFont val="Tahoma"/>
            <family val="2"/>
          </rPr>
          <t>Tenvalue:</t>
        </r>
        <r>
          <rPr>
            <sz val="9"/>
            <color indexed="81"/>
            <rFont val="Tahoma"/>
            <family val="2"/>
          </rPr>
          <t xml:space="preserve">
It includes a positive impact of €934.000 in the fair value of real estate investments</t>
        </r>
      </text>
    </comment>
    <comment ref="M76" authorId="0" shapeId="0" xr:uid="{649E80A6-2C5B-4411-B141-14098CEEF521}">
      <text>
        <r>
          <rPr>
            <b/>
            <sz val="9"/>
            <color indexed="81"/>
            <rFont val="Tahoma"/>
            <family val="2"/>
          </rPr>
          <t>Tenvalue:</t>
        </r>
        <r>
          <rPr>
            <sz val="9"/>
            <color indexed="81"/>
            <rFont val="Tahoma"/>
            <family val="2"/>
          </rPr>
          <t xml:space="preserve">
It includes a positive impact of €1,200,000 in the fair value of real estate investments</t>
        </r>
      </text>
    </comment>
    <comment ref="P76" authorId="0" shapeId="0" xr:uid="{E83D55CD-98F6-4750-B5BB-8EE6641CD476}">
      <text>
        <r>
          <rPr>
            <b/>
            <sz val="9"/>
            <color indexed="81"/>
            <rFont val="Tahoma"/>
            <family val="2"/>
          </rPr>
          <t>Tenvalue:</t>
        </r>
        <r>
          <rPr>
            <sz val="9"/>
            <color indexed="81"/>
            <rFont val="Tahoma"/>
            <family val="2"/>
          </rPr>
          <t xml:space="preserve">
Assuming that 60% of the increases in revenues flow through increases of PBT and a positive impact of €1,000,000 in the fair value of real estate investments</t>
        </r>
      </text>
    </comment>
    <comment ref="Q76" authorId="0" shapeId="0" xr:uid="{6DF164C2-4493-4105-9977-4808892DE4E1}">
      <text>
        <r>
          <rPr>
            <b/>
            <sz val="9"/>
            <color indexed="81"/>
            <rFont val="Tahoma"/>
            <family val="2"/>
          </rPr>
          <t>Tenvalue:</t>
        </r>
        <r>
          <rPr>
            <sz val="9"/>
            <color indexed="81"/>
            <rFont val="Tahoma"/>
            <family val="2"/>
          </rPr>
          <t xml:space="preserve">
Assuming that 60% of the increases in revenues flow through increases of PBT and a positive impact of €1,000,000 in the fair value of real estate investments</t>
        </r>
      </text>
    </comment>
    <comment ref="R76" authorId="0" shapeId="0" xr:uid="{E2DA3030-6EA3-43EF-81B4-C2B109081822}">
      <text>
        <r>
          <rPr>
            <b/>
            <sz val="9"/>
            <color indexed="81"/>
            <rFont val="Tahoma"/>
            <family val="2"/>
          </rPr>
          <t>Tenvalue:</t>
        </r>
        <r>
          <rPr>
            <sz val="9"/>
            <color indexed="81"/>
            <rFont val="Tahoma"/>
            <family val="2"/>
          </rPr>
          <t xml:space="preserve">
Assuming that 60% of the increases in revenues flow through increases of PBT and a positive impact of €1,000,000 in the fair value of real estate investments</t>
        </r>
      </text>
    </comment>
    <comment ref="S76" authorId="0" shapeId="0" xr:uid="{B34D29C3-C47C-47D9-9EA6-EB3C8572F019}">
      <text>
        <r>
          <rPr>
            <b/>
            <sz val="9"/>
            <color indexed="81"/>
            <rFont val="Tahoma"/>
            <family val="2"/>
          </rPr>
          <t>Tenvaleu:</t>
        </r>
        <r>
          <rPr>
            <sz val="9"/>
            <color indexed="81"/>
            <rFont val="Tahoma"/>
            <family val="2"/>
          </rPr>
          <t xml:space="preserve">
Assuming that 60% of the increases in revenues flow through increases of PBT and a positive impact of €1,000,000 in the fair value of real estate investments</t>
        </r>
      </text>
    </comment>
    <comment ref="M104" authorId="0" shapeId="0" xr:uid="{7437838A-813A-49FD-ADA8-5B4E03599927}">
      <text>
        <r>
          <rPr>
            <b/>
            <sz val="9"/>
            <color indexed="81"/>
            <rFont val="Tahoma"/>
            <family val="2"/>
          </rPr>
          <t>Tenvalue:</t>
        </r>
        <r>
          <rPr>
            <sz val="9"/>
            <color indexed="81"/>
            <rFont val="Tahoma"/>
            <family val="2"/>
          </rPr>
          <t xml:space="preserve">
Using the same formula as Libertas 7, deducting the changes in the fair value of real estate investments and with other adjustments</t>
        </r>
      </text>
    </comment>
    <comment ref="P111" authorId="0" shapeId="0" xr:uid="{B35ECA7C-3EFE-4ACD-BDDF-2D5CC5664031}">
      <text>
        <r>
          <rPr>
            <b/>
            <sz val="9"/>
            <color indexed="81"/>
            <rFont val="Tahoma"/>
            <family val="2"/>
          </rPr>
          <t>Tenvalue:</t>
        </r>
        <r>
          <rPr>
            <sz val="9"/>
            <color indexed="81"/>
            <rFont val="Tahoma"/>
            <family val="2"/>
          </rPr>
          <t xml:space="preserve">
Interest rates are variable in the case of Libertas 7. We have kept the same interest rate for the following years as we can't accurately forecast future interest rates</t>
        </r>
      </text>
    </comment>
    <comment ref="C127" authorId="0" shapeId="0" xr:uid="{A8A68C25-F316-444B-891C-1E7799C89997}">
      <text>
        <r>
          <rPr>
            <b/>
            <sz val="9"/>
            <color indexed="81"/>
            <rFont val="Tahoma"/>
            <family val="2"/>
          </rPr>
          <t>Tenvalue:</t>
        </r>
        <r>
          <rPr>
            <sz val="9"/>
            <color indexed="81"/>
            <rFont val="Tahoma"/>
            <family val="2"/>
          </rPr>
          <t xml:space="preserve">
In 2013, the Company has not agreed to any dividend distribution based on results</t>
        </r>
      </text>
    </comment>
    <comment ref="D127" authorId="0" shapeId="0" xr:uid="{568813D3-CD49-4EA2-8624-7F7A69349A29}">
      <text>
        <r>
          <rPr>
            <b/>
            <sz val="9"/>
            <color indexed="81"/>
            <rFont val="Tahoma"/>
            <family val="2"/>
          </rPr>
          <t>Tenvalue:</t>
        </r>
        <r>
          <rPr>
            <sz val="9"/>
            <color indexed="81"/>
            <rFont val="Tahoma"/>
            <family val="2"/>
          </rPr>
          <t xml:space="preserve">
In 2014, the Company has not agreed to any dividend distribution based on results</t>
        </r>
      </text>
    </comment>
    <comment ref="E127" authorId="0" shapeId="0" xr:uid="{3DA4E4C3-92C0-48A0-83B5-34DA5AA59798}">
      <text>
        <r>
          <rPr>
            <b/>
            <sz val="9"/>
            <color indexed="81"/>
            <rFont val="Tahoma"/>
            <family val="2"/>
          </rPr>
          <t>Tenvalue:</t>
        </r>
        <r>
          <rPr>
            <sz val="9"/>
            <color indexed="81"/>
            <rFont val="Tahoma"/>
            <family val="2"/>
          </rPr>
          <t xml:space="preserve">
In 2015, the Company has not agreed to any dividend distribution based on results</t>
        </r>
      </text>
    </comment>
    <comment ref="F127" authorId="0" shapeId="0" xr:uid="{F5B9A80D-F1D3-4C34-AE0C-B679351FE1F9}">
      <text>
        <r>
          <rPr>
            <b/>
            <sz val="9"/>
            <color indexed="81"/>
            <rFont val="Tahoma"/>
            <family val="2"/>
          </rPr>
          <t>Tenvalue:</t>
        </r>
        <r>
          <rPr>
            <sz val="9"/>
            <color indexed="81"/>
            <rFont val="Tahoma"/>
            <family val="2"/>
          </rPr>
          <t xml:space="preserve">
In 2016, the Company has not agreed to any dividend distribution based on results</t>
        </r>
      </text>
    </comment>
    <comment ref="G127" authorId="0" shapeId="0" xr:uid="{E70EFEF8-4438-4D81-9875-416C46F9A43D}">
      <text>
        <r>
          <rPr>
            <b/>
            <sz val="9"/>
            <color indexed="81"/>
            <rFont val="Tahoma"/>
            <family val="2"/>
          </rPr>
          <t>Tenvalue:</t>
        </r>
        <r>
          <rPr>
            <sz val="9"/>
            <color indexed="81"/>
            <rFont val="Tahoma"/>
            <family val="2"/>
          </rPr>
          <t xml:space="preserve">
In 2017, the Company agreed to distribute only extraordinary dividends (see cell below)</t>
        </r>
      </text>
    </comment>
    <comment ref="H127" authorId="0" shapeId="0" xr:uid="{C28F29A6-789D-4446-9336-B293E339C73C}">
      <text>
        <r>
          <rPr>
            <b/>
            <sz val="9"/>
            <color indexed="81"/>
            <rFont val="Tahoma"/>
            <family val="2"/>
          </rPr>
          <t>Tenvalue:</t>
        </r>
        <r>
          <rPr>
            <sz val="9"/>
            <color indexed="81"/>
            <rFont val="Tahoma"/>
            <family val="2"/>
          </rPr>
          <t xml:space="preserve">
In 2018, the Company agreed to distribute only extraordinary dividends (see cell below)</t>
        </r>
      </text>
    </comment>
    <comment ref="I127" authorId="0" shapeId="0" xr:uid="{721203F7-2940-45ED-B769-C5E2A49F8F0B}">
      <text>
        <r>
          <rPr>
            <b/>
            <sz val="9"/>
            <color indexed="81"/>
            <rFont val="Tahoma"/>
            <family val="2"/>
          </rPr>
          <t>Tenvalue:</t>
        </r>
        <r>
          <rPr>
            <sz val="9"/>
            <color indexed="81"/>
            <rFont val="Tahoma"/>
            <family val="2"/>
          </rPr>
          <t xml:space="preserve">
Dividend applied to 2018’s result: 4% of the nominal value. The payment of said dividend was made on May 1, 2019.
Likewise, it was agreed to distribute an extraordinary dividend on free reserves of 3% of the nominal value.
</t>
        </r>
      </text>
    </comment>
    <comment ref="J127" authorId="0" shapeId="0" xr:uid="{E8F6E6D8-08B1-4DD8-8330-A3EA1A753ABD}">
      <text>
        <r>
          <rPr>
            <b/>
            <sz val="9"/>
            <color indexed="81"/>
            <rFont val="Tahoma"/>
            <family val="2"/>
          </rPr>
          <t>Tenvalue:</t>
        </r>
        <r>
          <rPr>
            <sz val="9"/>
            <color indexed="81"/>
            <rFont val="Tahoma"/>
            <family val="2"/>
          </rPr>
          <t xml:space="preserve">
Although initially the Board of Directors of the Parent Company agreed on February 27, 2020 to distribute dividends in the amount of 523 thousand euros, the same Body agreed, on May 21, 2020, to modify the proposal, applying said amount to reserves, in accordance with the provisions of article 40.6 bis of Royal Decree Law 8/2020, of March 17, on urgent measures. extraordinary measures to confront the economic and social impact of Covid-19.</t>
        </r>
      </text>
    </comment>
    <comment ref="B131" authorId="0" shapeId="0" xr:uid="{A06D9A8E-2E6C-440D-8489-492E9AF7616D}">
      <text>
        <r>
          <rPr>
            <b/>
            <sz val="9"/>
            <color indexed="81"/>
            <rFont val="Tahoma"/>
            <family val="2"/>
          </rPr>
          <t xml:space="preserve">Tenvalue:
</t>
        </r>
        <r>
          <rPr>
            <sz val="9"/>
            <color indexed="81"/>
            <rFont val="Tahoma"/>
            <family val="2"/>
          </rPr>
          <t xml:space="preserve">Days of Inventory Outstanding
</t>
        </r>
      </text>
    </comment>
    <comment ref="B132" authorId="0" shapeId="0" xr:uid="{AB8DAFE3-A3EE-4015-AF75-E128056DE15A}">
      <text>
        <r>
          <rPr>
            <b/>
            <sz val="9"/>
            <color indexed="81"/>
            <rFont val="Tahoma"/>
            <family val="2"/>
          </rPr>
          <t>Tenvalue:</t>
        </r>
        <r>
          <rPr>
            <sz val="9"/>
            <color indexed="81"/>
            <rFont val="Tahoma"/>
            <family val="2"/>
          </rPr>
          <t xml:space="preserve">
Days Sales Outstanding</t>
        </r>
      </text>
    </comment>
    <comment ref="B133" authorId="0" shapeId="0" xr:uid="{6257877C-2ED6-4565-8ACA-126776BD9508}">
      <text>
        <r>
          <rPr>
            <b/>
            <sz val="9"/>
            <color indexed="81"/>
            <rFont val="Tahoma"/>
            <family val="2"/>
          </rPr>
          <t>Tenvalue:</t>
        </r>
        <r>
          <rPr>
            <sz val="9"/>
            <color indexed="81"/>
            <rFont val="Tahoma"/>
            <family val="2"/>
          </rPr>
          <t xml:space="preserve">
Days Payable Outstanding</t>
        </r>
      </text>
    </comment>
    <comment ref="C143" authorId="0" shapeId="0" xr:uid="{17B7ED09-4DAA-4E4F-B45D-C50E3CF22537}">
      <text>
        <r>
          <rPr>
            <b/>
            <sz val="9"/>
            <color indexed="81"/>
            <rFont val="Tahoma"/>
            <family val="2"/>
          </rPr>
          <t>Tenvalue:</t>
        </r>
        <r>
          <rPr>
            <sz val="9"/>
            <color indexed="81"/>
            <rFont val="Tahoma"/>
            <family val="2"/>
          </rPr>
          <t xml:space="preserve">
The goodwill generated in the merger operation between LIBERTAS 7 SA (absorbing company) and SA Playa de Alboraya (absorbed company) and Valenciana de Negocios SA (absorbed company), was assigned to different buildings contributed to the absorbing company and shares in associated companies by the absorbed companies as a resultion of the merger.</t>
        </r>
      </text>
    </comment>
    <comment ref="P146" authorId="0" shapeId="0" xr:uid="{BF715607-EAE2-423C-8BC2-268D1480D642}">
      <text>
        <r>
          <rPr>
            <b/>
            <sz val="9"/>
            <color indexed="81"/>
            <rFont val="Tahoma"/>
            <family val="2"/>
          </rPr>
          <t>Tenvalue:</t>
        </r>
        <r>
          <rPr>
            <sz val="9"/>
            <color indexed="81"/>
            <rFont val="Tahoma"/>
            <family val="2"/>
          </rPr>
          <t xml:space="preserve">
5% property value appreciation +
Land for project Nuevo 1 is expected to be bought in 2026, where 50 houses will be built. Therefore, we assume a cost of 19% of the selling price forecasted in 2029 when units are projected to be sold by the company.
</t>
        </r>
      </text>
    </comment>
    <comment ref="C147" authorId="0" shapeId="0" xr:uid="{D67FE507-A451-46E8-AE73-77FE048D1039}">
      <text>
        <r>
          <rPr>
            <b/>
            <sz val="9"/>
            <color indexed="81"/>
            <rFont val="Tahoma"/>
            <family val="2"/>
          </rPr>
          <t>Tenvalue:</t>
        </r>
        <r>
          <rPr>
            <sz val="9"/>
            <color indexed="81"/>
            <rFont val="Tahoma"/>
            <family val="2"/>
          </rPr>
          <t xml:space="preserve">
List of companies:
1. Promotora de Informaciones SA EUR 5.25M
2. Adolfo Dominguez SA EUR 9.89M
3. Compañía Levantina de Edificación y Obras Públicas S.A. EUR 1.67M
4. Finanzas e Inversiones Valencianas SA EUR .86M
5. Valentina Biopharma SL EUR .29M</t>
        </r>
      </text>
    </comment>
    <comment ref="C153" authorId="0" shapeId="0" xr:uid="{87559960-8C3D-4022-8410-3F6CCF6BA690}">
      <text>
        <r>
          <rPr>
            <b/>
            <sz val="9"/>
            <color indexed="81"/>
            <rFont val="Tahoma"/>
            <family val="2"/>
          </rPr>
          <t>Tenvalue:</t>
        </r>
        <r>
          <rPr>
            <sz val="9"/>
            <color indexed="81"/>
            <rFont val="Tahoma"/>
            <family val="2"/>
          </rPr>
          <t xml:space="preserve">
Securities in secondary markets included in the portfolio of the Group. List of investments by sector:
1. Luxury EUR 22.64M
2. Banking EUR 3.59M
3. EPC/Infrastructure EUR 4.06M
4. Insurance EUR 5.53M
5. Media EUR 3.13M
6. Construction supplies EUR 4.92M
7. Industrial EUR 6.27M
8. Technology EUR 2.37M
9. Environmental EUR .75M
10. Real Estate EUR .004M
11. Food EUR 2.03M
12. Non-cyclical consumption EUR .83M
13. Others (bonds, derivatives and investments in CII – collective investment institutions): EUR 6.41M</t>
        </r>
      </text>
    </comment>
    <comment ref="L255" authorId="0" shapeId="0" xr:uid="{7E4FB003-2C13-4BC5-9510-DF54EE46380A}">
      <text>
        <r>
          <rPr>
            <b/>
            <sz val="9"/>
            <color indexed="81"/>
            <rFont val="Tahoma"/>
            <family val="2"/>
          </rPr>
          <t>Tenvalue:</t>
        </r>
        <r>
          <rPr>
            <sz val="9"/>
            <color indexed="81"/>
            <rFont val="Tahoma"/>
            <family val="2"/>
          </rPr>
          <t xml:space="preserve">
It must be taken into account that the stock portfolio is totally liquid. Although technically we cannot calculate the net debt considering the investment in equities as liquidity, the truth is that they are realizable assets and that they could be used to pay off all of the group's debt if deemed appropriate.
As an example, taking the data published in 1H23, Libertas 7 has a stock market portfolio value of €37.5M and liquidity of €5.5M, adding up to €43M in total, compared to €34.7M of total debt. Seen this way, the Net Debt/Ebitda in our Excel document would go from 10.35x to -1.96x, all taking into account that the EBITDA does not include the activity of the stock portfolio.</t>
        </r>
      </text>
    </comment>
    <comment ref="P273" authorId="0" shapeId="0" xr:uid="{E4EA675C-C237-4806-B4D4-F2041A876956}">
      <text>
        <r>
          <rPr>
            <b/>
            <sz val="9"/>
            <color indexed="81"/>
            <rFont val="Tahoma"/>
            <family val="2"/>
          </rPr>
          <t>Tenvalue:</t>
        </r>
        <r>
          <rPr>
            <sz val="9"/>
            <color indexed="81"/>
            <rFont val="Tahoma"/>
            <family val="2"/>
          </rPr>
          <t xml:space="preserve">
As of June 30, 2026</t>
        </r>
      </text>
    </comment>
    <comment ref="L287" authorId="0" shapeId="0" xr:uid="{867F4438-DB31-49D1-A342-95956107B973}">
      <text>
        <r>
          <rPr>
            <b/>
            <sz val="9"/>
            <color indexed="81"/>
            <rFont val="Tahoma"/>
            <family val="2"/>
          </rPr>
          <t>Tenvalue:</t>
        </r>
        <r>
          <rPr>
            <sz val="9"/>
            <color indexed="81"/>
            <rFont val="Tahoma"/>
            <family val="2"/>
          </rPr>
          <t xml:space="preserve">
The stock portfolio accounts for a large part of the resources employed by the firm, and its results do not go through P&amp;L. The resulting ROE therefore we believe does not adequately show the return on the resources used by the company. 
Nor do the results of investments in private equity (about 8M to 1H23) go through P&amp;L until the returns received from such investments exceed the investment cost, due to accounting regulations.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24" authorId="0" shapeId="0" xr:uid="{7D9706AB-8E0A-4D6B-ABBB-C8EB8146E9E7}">
      <text>
        <r>
          <rPr>
            <b/>
            <sz val="12"/>
            <color indexed="81"/>
            <rFont val="Tahoma"/>
            <family val="2"/>
          </rPr>
          <t xml:space="preserve">Tenvalue:
</t>
        </r>
        <r>
          <rPr>
            <sz val="12"/>
            <color indexed="81"/>
            <rFont val="Tahoma"/>
            <family val="2"/>
          </rPr>
          <t xml:space="preserve">June 30, 2026
</t>
        </r>
      </text>
    </comment>
  </commentList>
</comments>
</file>

<file path=xl/sharedStrings.xml><?xml version="1.0" encoding="utf-8"?>
<sst xmlns="http://schemas.openxmlformats.org/spreadsheetml/2006/main" count="592" uniqueCount="295">
  <si>
    <t xml:space="preserve">     +/- Others</t>
  </si>
  <si>
    <t>EBITDA</t>
  </si>
  <si>
    <t>EBIT</t>
  </si>
  <si>
    <t>EBIT Margin %</t>
  </si>
  <si>
    <t xml:space="preserve">     + Finance income</t>
  </si>
  <si>
    <t xml:space="preserve">     - Finance costs</t>
  </si>
  <si>
    <t>EBT</t>
  </si>
  <si>
    <t>Income tax for the period</t>
  </si>
  <si>
    <t>Tax rate %</t>
  </si>
  <si>
    <t>Net result for the year from continued operations</t>
  </si>
  <si>
    <t>Net result for the year attributable to non-controlling interests</t>
  </si>
  <si>
    <t>Profit Margin %</t>
  </si>
  <si>
    <t>Earnings per share</t>
  </si>
  <si>
    <t>EPS growth %</t>
  </si>
  <si>
    <t>Dividend paid per share</t>
  </si>
  <si>
    <t>Dividend payout %</t>
  </si>
  <si>
    <t>Assets</t>
  </si>
  <si>
    <t xml:space="preserve">   Total non-current assets</t>
  </si>
  <si>
    <t xml:space="preserve">      Cash and cash equivalents</t>
  </si>
  <si>
    <t xml:space="preserve">   Total current assets </t>
  </si>
  <si>
    <t xml:space="preserve">Total assets </t>
  </si>
  <si>
    <t>Equity and liabilities</t>
  </si>
  <si>
    <t xml:space="preserve">   Total equity</t>
  </si>
  <si>
    <t xml:space="preserve">   Total non-current liabilities</t>
  </si>
  <si>
    <t xml:space="preserve">   Total current liabilities</t>
  </si>
  <si>
    <t>Total equity and liabilities</t>
  </si>
  <si>
    <t>Cash flow from operating activities before changes in WC</t>
  </si>
  <si>
    <t>Changes in working capital</t>
  </si>
  <si>
    <t>Cash flow from operating activities</t>
  </si>
  <si>
    <t>Cash flows from investing activities</t>
  </si>
  <si>
    <t>Cash flows from financing activities</t>
  </si>
  <si>
    <t>Cash Flow of the year</t>
  </si>
  <si>
    <t>Cash flow from previous years</t>
  </si>
  <si>
    <t>Accumulated cash flow</t>
  </si>
  <si>
    <t>Gross Debt</t>
  </si>
  <si>
    <t>Gross Cash</t>
  </si>
  <si>
    <t xml:space="preserve">Net Debt </t>
  </si>
  <si>
    <t>Increase in Debt</t>
  </si>
  <si>
    <t>Price</t>
  </si>
  <si>
    <t>Market Cap</t>
  </si>
  <si>
    <t>Net Financial Debt</t>
  </si>
  <si>
    <t>Enterprise Value</t>
  </si>
  <si>
    <t>P/E</t>
  </si>
  <si>
    <t>EV/EBITDA</t>
  </si>
  <si>
    <t>P/B</t>
  </si>
  <si>
    <t>Dividend Yield %</t>
  </si>
  <si>
    <t>ROE</t>
  </si>
  <si>
    <t>Date</t>
  </si>
  <si>
    <t>Item</t>
  </si>
  <si>
    <t>Consolidated</t>
  </si>
  <si>
    <t>Minorities</t>
  </si>
  <si>
    <t>Associates</t>
  </si>
  <si>
    <t>Total debt</t>
  </si>
  <si>
    <t>Equity</t>
  </si>
  <si>
    <t>TD/Assets</t>
  </si>
  <si>
    <t>TD/Equity</t>
  </si>
  <si>
    <t>Total Revenues</t>
  </si>
  <si>
    <t xml:space="preserve">   Equity</t>
  </si>
  <si>
    <t>Effect of FX rate exchange</t>
  </si>
  <si>
    <t>Net debt (net cash)</t>
  </si>
  <si>
    <t>Free  cash flow</t>
  </si>
  <si>
    <t>2026E</t>
  </si>
  <si>
    <t>Minority interests</t>
  </si>
  <si>
    <t>TD/EBITDA</t>
  </si>
  <si>
    <t>ND/EBITDA</t>
  </si>
  <si>
    <t>EV/EBIT</t>
  </si>
  <si>
    <t>Debt with financial institutions</t>
  </si>
  <si>
    <t>Other financial liabilities</t>
  </si>
  <si>
    <t>TOTAL</t>
  </si>
  <si>
    <t>In millions of EUR, except per share data</t>
  </si>
  <si>
    <t>Capitalization ratio</t>
  </si>
  <si>
    <t>Other liabilities/securities</t>
  </si>
  <si>
    <t xml:space="preserve">Libertas 7 - Valuation </t>
  </si>
  <si>
    <t>Libertas 7 - Key Financial Data</t>
  </si>
  <si>
    <t>Libertas 7 - Income Statement</t>
  </si>
  <si>
    <t xml:space="preserve">Net result for the year attributable to shareholders of Libertas 7 </t>
  </si>
  <si>
    <t>Weighted average number of shares</t>
  </si>
  <si>
    <t>Revenue by segments</t>
  </si>
  <si>
    <t>2027E</t>
  </si>
  <si>
    <t>Paiporta Park - Paiporta</t>
  </si>
  <si>
    <t>Port Saplaya (Alboraia)</t>
  </si>
  <si>
    <t>Edificio Alberola</t>
  </si>
  <si>
    <t>Residencial Cresol</t>
  </si>
  <si>
    <t>Edificio Drassanes</t>
  </si>
  <si>
    <t>Crisálida</t>
  </si>
  <si>
    <t>Paseo</t>
  </si>
  <si>
    <t>Zaida</t>
  </si>
  <si>
    <t>Gaia</t>
  </si>
  <si>
    <t>Idalia</t>
  </si>
  <si>
    <t>Pomelos</t>
  </si>
  <si>
    <t>Nuevo 1</t>
  </si>
  <si>
    <t>-</t>
  </si>
  <si>
    <t>Libertas 7 - Cashflow Statement</t>
  </si>
  <si>
    <t>Libertas 7 - Balance Sheet</t>
  </si>
  <si>
    <t>Libertas 7 - Expected IRR</t>
  </si>
  <si>
    <t>Purchase price</t>
  </si>
  <si>
    <t>Dividend 2</t>
  </si>
  <si>
    <t>Dividend 3</t>
  </si>
  <si>
    <t>IRR (approx.)</t>
  </si>
  <si>
    <t>Libertas 7 - Financial Calendar</t>
  </si>
  <si>
    <t xml:space="preserve">Historical data </t>
  </si>
  <si>
    <t>Lookout for key notes / explanations</t>
  </si>
  <si>
    <t>Revenue - Financial activity</t>
  </si>
  <si>
    <t>Libertas 7 - Debt</t>
  </si>
  <si>
    <t>Sale - Real estate developments</t>
  </si>
  <si>
    <t>Total registered deeds (housing and commercial properties/offices)</t>
  </si>
  <si>
    <t>Average price (housing and commercial properties/offices)</t>
  </si>
  <si>
    <t>Development</t>
  </si>
  <si>
    <t>Financial Activity</t>
  </si>
  <si>
    <t>Real estate developments</t>
  </si>
  <si>
    <t>Rentals</t>
  </si>
  <si>
    <t>Financial activity</t>
  </si>
  <si>
    <t>Revenue</t>
  </si>
  <si>
    <t>Earnings from investments accounted for using the equity method</t>
  </si>
  <si>
    <t>Changes in the fair value of real estate investments</t>
  </si>
  <si>
    <t>Impairment and gain/ loss on disposal of fixed asset</t>
  </si>
  <si>
    <t>Other operating income</t>
  </si>
  <si>
    <t>Variation in inventories of finished or in-progress products</t>
  </si>
  <si>
    <t>Procurement</t>
  </si>
  <si>
    <t>HR</t>
  </si>
  <si>
    <t>Other operating expenses</t>
  </si>
  <si>
    <t>Excess of provisions</t>
  </si>
  <si>
    <t>Amortizations</t>
  </si>
  <si>
    <t>Other results</t>
  </si>
  <si>
    <t>DSO</t>
  </si>
  <si>
    <t>DPO</t>
  </si>
  <si>
    <t>Rental</t>
  </si>
  <si>
    <t>Revenue - Rental</t>
  </si>
  <si>
    <t>EBT by segment</t>
  </si>
  <si>
    <t>Goodwill</t>
  </si>
  <si>
    <t>Other intangible assets</t>
  </si>
  <si>
    <t>Tangible assets</t>
  </si>
  <si>
    <t>Investment property</t>
  </si>
  <si>
    <t>Deferred tax assets</t>
  </si>
  <si>
    <t>Other non-current assets</t>
  </si>
  <si>
    <t>Inventory</t>
  </si>
  <si>
    <t>Cash and cash equivalents</t>
  </si>
  <si>
    <t>Share capital</t>
  </si>
  <si>
    <t>Share premium</t>
  </si>
  <si>
    <t>Other reserves</t>
  </si>
  <si>
    <t>Profit for the year attributed to the parent company</t>
  </si>
  <si>
    <t>Own shares</t>
  </si>
  <si>
    <t>Dividends</t>
  </si>
  <si>
    <t>Deferred tax liabilities</t>
  </si>
  <si>
    <t>Other non-current liabilities</t>
  </si>
  <si>
    <t>Accounts payable</t>
  </si>
  <si>
    <t>Accounts receivable</t>
  </si>
  <si>
    <t>Other short-term financial liabilities</t>
  </si>
  <si>
    <t>Short-term provisions</t>
  </si>
  <si>
    <t>Other short-term financial assets</t>
  </si>
  <si>
    <t>Long-term financial investments</t>
  </si>
  <si>
    <t>Amortization of fixed assets</t>
  </si>
  <si>
    <t>Valuation corrections due to impairment</t>
  </si>
  <si>
    <t>Variation in provisions</t>
  </si>
  <si>
    <t>Participation in associates</t>
  </si>
  <si>
    <t>Interests</t>
  </si>
  <si>
    <t>FX</t>
  </si>
  <si>
    <t>Interest and dividend income</t>
  </si>
  <si>
    <t>Corporate tax accrued in the year</t>
  </si>
  <si>
    <t>Corporate tax collected / (paid)</t>
  </si>
  <si>
    <t>Result from the sale of non-current assets</t>
  </si>
  <si>
    <t>Fair value changes in real estate investments</t>
  </si>
  <si>
    <t>Investments in group entities, joint ventures and associates</t>
  </si>
  <si>
    <t>Investments in tangible assets</t>
  </si>
  <si>
    <t>Real estate investments</t>
  </si>
  <si>
    <t>Intangible assets</t>
  </si>
  <si>
    <t>Other financial assets</t>
  </si>
  <si>
    <t>Real estate divestments</t>
  </si>
  <si>
    <t>Divestiture of other financial assets</t>
  </si>
  <si>
    <t>Financial expenses and dividends paid</t>
  </si>
  <si>
    <t>Own shares (Purchase / Net investment)</t>
  </si>
  <si>
    <t>Issuance of other liabilities</t>
  </si>
  <si>
    <t>Debts with financial institutions</t>
  </si>
  <si>
    <t>Issuance of debts with financial institutions</t>
  </si>
  <si>
    <t>Repayment and amortization of debts with financial institutions</t>
  </si>
  <si>
    <t>LUXURY</t>
  </si>
  <si>
    <t>BANKS</t>
  </si>
  <si>
    <t>INSURANCE</t>
  </si>
  <si>
    <t>CONSTR. &amp; HIGHWAYS</t>
  </si>
  <si>
    <t>ANCILLARY CONSTR. SUPPLIES</t>
  </si>
  <si>
    <t>MEDIA</t>
  </si>
  <si>
    <t>TECH</t>
  </si>
  <si>
    <t>ENVIRONMENT</t>
  </si>
  <si>
    <t>FOOD</t>
  </si>
  <si>
    <t>PHARMA</t>
  </si>
  <si>
    <t>INDUSTRIALS</t>
  </si>
  <si>
    <t>NON CYCLICAL CONSUMER GOODS</t>
  </si>
  <si>
    <t>SERVICES</t>
  </si>
  <si>
    <t>TOTAL PORTFOLIO</t>
  </si>
  <si>
    <t>Other assets</t>
  </si>
  <si>
    <t>TOTAL FINANCIAL ASSETS</t>
  </si>
  <si>
    <t>MARKET VALUE</t>
  </si>
  <si>
    <t>EUROS</t>
  </si>
  <si>
    <t>Investments in Collective Investment Institutions</t>
  </si>
  <si>
    <t>Deposits and other financial assets</t>
  </si>
  <si>
    <t>% of share</t>
  </si>
  <si>
    <t>Compañía Levantina de Edificaciones y Obras Públicas S.A.</t>
  </si>
  <si>
    <t>TOTAL LT financial investments</t>
  </si>
  <si>
    <t>Other non-current financial assets</t>
  </si>
  <si>
    <t>TOTAL Non-current financial assets</t>
  </si>
  <si>
    <t>TOTAL LT FINANCIAL INVESTMENTS</t>
  </si>
  <si>
    <t>Investments</t>
  </si>
  <si>
    <t xml:space="preserve"> Real estate</t>
  </si>
  <si>
    <t>Tourism</t>
  </si>
  <si>
    <t>EBITDA Margin %</t>
  </si>
  <si>
    <t>In millions, except per share data</t>
  </si>
  <si>
    <t>Price (at end of FY)</t>
  </si>
  <si>
    <t>Current price</t>
  </si>
  <si>
    <t>Market Cap (at end of FY)</t>
  </si>
  <si>
    <t>Investments in associates</t>
  </si>
  <si>
    <t>Investments in minorities</t>
  </si>
  <si>
    <t>Enterprise Value (at end of FY)</t>
  </si>
  <si>
    <t>Revenues</t>
  </si>
  <si>
    <t>EBIT (Operating profit/loss)</t>
  </si>
  <si>
    <t xml:space="preserve"> Operating margin</t>
  </si>
  <si>
    <t>EBITDA margin</t>
  </si>
  <si>
    <t>Net earnings (loss) attributable to the Company</t>
  </si>
  <si>
    <t>Operating Cash Flow</t>
  </si>
  <si>
    <t>Capex</t>
  </si>
  <si>
    <t xml:space="preserve">P/E </t>
  </si>
  <si>
    <t xml:space="preserve">EV/ EBIT </t>
  </si>
  <si>
    <t>Price 12/31 of given year</t>
  </si>
  <si>
    <t>EBIT margin</t>
  </si>
  <si>
    <t>Libertas 7 - Peer Analysis</t>
  </si>
  <si>
    <t>Aedas Homes</t>
  </si>
  <si>
    <t>Insur</t>
  </si>
  <si>
    <t>Neinor Homes</t>
  </si>
  <si>
    <t>2017/18</t>
  </si>
  <si>
    <t>2018/19</t>
  </si>
  <si>
    <t>2019/20</t>
  </si>
  <si>
    <t>2020/21</t>
  </si>
  <si>
    <t>2021/22</t>
  </si>
  <si>
    <t>2022/23</t>
  </si>
  <si>
    <t>NFD/EBITDA</t>
  </si>
  <si>
    <t>Revenue - Rental (tourism)</t>
  </si>
  <si>
    <t>Long-term provisions</t>
  </si>
  <si>
    <t>Other</t>
  </si>
  <si>
    <t>In millions of EUR, except per share data and average price (housing and commercial properties/offices)</t>
  </si>
  <si>
    <t>Tossal - Picassent</t>
  </si>
  <si>
    <t>Paradis (Vila Real)</t>
  </si>
  <si>
    <t>Buganvillas (Paiporta)</t>
  </si>
  <si>
    <t>Increase in avg. price/unit</t>
  </si>
  <si>
    <t>Adjustments</t>
  </si>
  <si>
    <t>Capri (Peñíscola)</t>
  </si>
  <si>
    <t>Montgó (Denia)</t>
  </si>
  <si>
    <t>Nova América (Pto Sagunto)</t>
  </si>
  <si>
    <t>Variation in equity</t>
  </si>
  <si>
    <t>Divestiture of tangible/intangible assets</t>
  </si>
  <si>
    <t>Profit for the year attributed to minorities</t>
  </si>
  <si>
    <t>Variation in financial assets</t>
  </si>
  <si>
    <t>Jardines del Sequial (Sueca)</t>
  </si>
  <si>
    <t>Confort (Paiporta)</t>
  </si>
  <si>
    <t>2028E</t>
  </si>
  <si>
    <t>Puig</t>
  </si>
  <si>
    <t xml:space="preserve">Buildings and business premises in Valencia centre </t>
  </si>
  <si>
    <t>Buildings - turism division</t>
  </si>
  <si>
    <t>Investments accounted for using the equity method</t>
  </si>
  <si>
    <t xml:space="preserve">Other long term financial investments </t>
  </si>
  <si>
    <t>Cash and other equivalent liquid assets</t>
  </si>
  <si>
    <t>Debt</t>
  </si>
  <si>
    <t>Included in row 213</t>
  </si>
  <si>
    <t>Dividends originated from results</t>
  </si>
  <si>
    <t>Extraordinary dividends (from free reserves)</t>
  </si>
  <si>
    <t>Dividend 4</t>
  </si>
  <si>
    <t>Financial portfolio</t>
  </si>
  <si>
    <t>Real estate developments business (assuming P/E = 10x)</t>
  </si>
  <si>
    <t>Other current assets</t>
  </si>
  <si>
    <t>Grants recognized in the income statement</t>
  </si>
  <si>
    <t>Dana Valencia Empresa Solidaria S.A.</t>
  </si>
  <si>
    <t xml:space="preserve">Corporate </t>
  </si>
  <si>
    <t>2029E</t>
  </si>
  <si>
    <t>Horta Residencial</t>
  </si>
  <si>
    <t>Torrente I</t>
  </si>
  <si>
    <t>Torrente II</t>
  </si>
  <si>
    <t>Vesta</t>
  </si>
  <si>
    <t>2023/2024</t>
  </si>
  <si>
    <t>Total (2029)</t>
  </si>
  <si>
    <t>2024/2025</t>
  </si>
  <si>
    <t>DIO</t>
  </si>
  <si>
    <t>Source of historical data:</t>
  </si>
  <si>
    <t>Market Cap (at current price)</t>
  </si>
  <si>
    <t>Enterprise Value (at current price)</t>
  </si>
  <si>
    <t>Valuation Multiples (at end of FY)</t>
  </si>
  <si>
    <t>Valuation Multiples (at current price)</t>
  </si>
  <si>
    <t xml:space="preserve">Source: </t>
  </si>
  <si>
    <t>https://libertas7.es/informacion-financiera/</t>
  </si>
  <si>
    <t>https://grupoinsur.com/en/shareholder-investor/anual-report</t>
  </si>
  <si>
    <t>https://annualreport.aedashomes.com/2024/chairmans_statement</t>
  </si>
  <si>
    <t>https://www.neinorhomes.com/en/corporate/investors/financial-information/financial-reports/</t>
  </si>
  <si>
    <t>2024/25</t>
  </si>
  <si>
    <t xml:space="preserve"> 2026E, 2027E, 2028E, and 2029E refer to Tenvalue's estimations</t>
  </si>
  <si>
    <t>Aedas Homes (AEDAS.MC) - Peer analysis</t>
  </si>
  <si>
    <t>Insur (INSUR.MC) - Peer analysis</t>
  </si>
  <si>
    <t>Neinor Homes (HOME.MC) - Peer analysis</t>
  </si>
  <si>
    <t>Dividend 5 + Sum of parts valuation (assuming a 10% holding discount in 2029)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</si>
</sst>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1" formatCode="_(* #,##0_);_(* \(#,##0\);_(* &quot;-&quot;_);_(@_)"/>
    <numFmt numFmtId="164" formatCode="_-* #,##0.00\ &quot;€&quot;_-;\-* #,##0.00\ &quot;€&quot;_-;_-* &quot;-&quot;??\ &quot;€&quot;_-;_-@_-"/>
    <numFmt numFmtId="165" formatCode="0.00\x"/>
    <numFmt numFmtId="166" formatCode="0.0%"/>
    <numFmt numFmtId="167" formatCode="#,##0.0;\(#,##0.0\);&quot;-&quot;"/>
    <numFmt numFmtId="168" formatCode="#,##0.00;\(#,##0.00\);&quot;-&quot;"/>
    <numFmt numFmtId="169" formatCode="#,##0.0"/>
    <numFmt numFmtId="170" formatCode="#,##0;\(#,##0\);&quot;-&quot;"/>
    <numFmt numFmtId="171" formatCode="0.0"/>
    <numFmt numFmtId="172" formatCode="#,##0.000_);\(#,##0.000\)"/>
    <numFmt numFmtId="173" formatCode="_-* #,##0.00\ [$€-C0A]_-;\-* #,##0.00\ [$€-C0A]_-;_-* &quot;-&quot;??\ [$€-C0A]_-;_-@_-"/>
    <numFmt numFmtId="174" formatCode="_-* #,##0.00\ [$SEK]_-;\-* #,##0.00\ [$SEK]_-;_-* &quot;-&quot;??\ [$SEK]_-;_-@_-"/>
    <numFmt numFmtId="175" formatCode="_([$SEK]\ * #,##0.00_);_([$SEK]\ * \(#,##0.00\);_([$SEK]\ * &quot;-&quot;??_);_(@_)"/>
    <numFmt numFmtId="176" formatCode="_-[$$-409]* #,##0.00_ ;_-[$$-409]* \-#,##0.00\ ;_-[$$-409]* &quot;-&quot;??_ ;_-@_ "/>
    <numFmt numFmtId="177" formatCode="0.0\x"/>
    <numFmt numFmtId="178" formatCode="#,##0.000000_);\(#,##0.000000\)"/>
    <numFmt numFmtId="179" formatCode="_(* #,##0.00_);_(* \(#,##0.00\);_(* &quot;-&quot;_);_(@_)"/>
    <numFmt numFmtId="180" formatCode="#,##0.00000000000000000_);\(#,##0.00000000000000000\)"/>
  </numFmts>
  <fonts count="56" x14ac:knownFonts="1">
    <font>
      <sz val="11"/>
      <color theme="1"/>
      <name val="Calibri"/>
      <family val="2"/>
      <scheme val="minor"/>
    </font>
    <font>
      <sz val="11"/>
      <color theme="1"/>
      <name val="Palatino Linotype"/>
      <family val="2"/>
    </font>
    <font>
      <sz val="11"/>
      <color theme="1"/>
      <name val="Yu Gothic"/>
      <family val="2"/>
    </font>
    <font>
      <sz val="11"/>
      <color theme="1"/>
      <name val="Calibri"/>
      <family val="2"/>
      <scheme val="minor"/>
    </font>
    <font>
      <b/>
      <sz val="10"/>
      <color indexed="9"/>
      <name val="Arial"/>
      <family val="2"/>
    </font>
    <font>
      <sz val="10"/>
      <color indexed="63"/>
      <name val="Arial"/>
      <family val="2"/>
    </font>
    <font>
      <b/>
      <sz val="11"/>
      <color theme="1"/>
      <name val="Yu Gothic"/>
      <family val="2"/>
    </font>
    <font>
      <sz val="18"/>
      <color theme="3"/>
      <name val="Cambria"/>
      <family val="2"/>
      <scheme val="major"/>
    </font>
    <font>
      <sz val="18"/>
      <color rgb="FFAD9750"/>
      <name val="Cambria"/>
      <family val="2"/>
      <scheme val="major"/>
    </font>
    <font>
      <b/>
      <sz val="11"/>
      <color theme="1"/>
      <name val="Cambria"/>
      <family val="1"/>
    </font>
    <font>
      <sz val="11"/>
      <color theme="1"/>
      <name val="Cambria"/>
      <family val="1"/>
    </font>
    <font>
      <b/>
      <sz val="11"/>
      <name val="Cambria"/>
      <family val="1"/>
    </font>
    <font>
      <sz val="11"/>
      <color rgb="FFAD9750"/>
      <name val="Calibri"/>
      <family val="2"/>
      <scheme val="minor"/>
    </font>
    <font>
      <b/>
      <sz val="10"/>
      <color rgb="FFAD9750"/>
      <name val="Tahoma"/>
      <family val="2"/>
    </font>
    <font>
      <sz val="11"/>
      <color rgb="FFAD9750"/>
      <name val="Cambria"/>
      <family val="2"/>
      <scheme val="major"/>
    </font>
    <font>
      <b/>
      <sz val="11"/>
      <color rgb="FFAD9750"/>
      <name val="Cambria"/>
      <family val="1"/>
      <scheme val="major"/>
    </font>
    <font>
      <b/>
      <sz val="14"/>
      <color rgb="FFAD9750"/>
      <name val="Cambria"/>
      <family val="1"/>
      <scheme val="major"/>
    </font>
    <font>
      <b/>
      <sz val="24"/>
      <color rgb="FFAD9750"/>
      <name val="Cambria"/>
      <family val="1"/>
      <scheme val="major"/>
    </font>
    <font>
      <b/>
      <sz val="11"/>
      <color rgb="FFAD9750"/>
      <name val="Cambria"/>
      <family val="1"/>
    </font>
    <font>
      <b/>
      <sz val="11"/>
      <color theme="1"/>
      <name val="Calibri"/>
      <family val="2"/>
      <scheme val="minor"/>
    </font>
    <font>
      <sz val="10"/>
      <color theme="1"/>
      <name val="Palatino Linotype"/>
      <family val="1"/>
    </font>
    <font>
      <sz val="11"/>
      <color indexed="8"/>
      <name val="Palatino Linotype"/>
      <family val="1"/>
    </font>
    <font>
      <i/>
      <sz val="11"/>
      <color indexed="8"/>
      <name val="Palatino Linotype"/>
      <family val="1"/>
    </font>
    <font>
      <sz val="11"/>
      <color indexed="12"/>
      <name val="Palatino Linotype"/>
      <family val="1"/>
    </font>
    <font>
      <i/>
      <sz val="11"/>
      <color indexed="12"/>
      <name val="Palatino Linotype"/>
      <family val="1"/>
    </font>
    <font>
      <sz val="11"/>
      <color indexed="10"/>
      <name val="Palatino Linotype"/>
      <family val="1"/>
    </font>
    <font>
      <sz val="11"/>
      <color indexed="57"/>
      <name val="Palatino Linotype"/>
      <family val="1"/>
    </font>
    <font>
      <sz val="11"/>
      <color rgb="FFFFC000"/>
      <name val="Palatino Linotype"/>
      <family val="1"/>
    </font>
    <font>
      <sz val="11"/>
      <name val="Palatino Linotype"/>
      <family val="1"/>
    </font>
    <font>
      <sz val="11"/>
      <color theme="5" tint="-0.249977111117893"/>
      <name val="Palatino Linotype"/>
      <family val="1"/>
    </font>
    <font>
      <b/>
      <sz val="11"/>
      <color theme="1"/>
      <name val="Palatino Linotype"/>
      <family val="1"/>
    </font>
    <font>
      <sz val="11"/>
      <name val="Calibri"/>
      <family val="2"/>
      <scheme val="minor"/>
    </font>
    <font>
      <sz val="11"/>
      <name val="Cambria"/>
      <family val="1"/>
    </font>
    <font>
      <sz val="11"/>
      <color rgb="FFAD9750"/>
      <name val="Cambria"/>
      <family val="1"/>
      <scheme val="major"/>
    </font>
    <font>
      <b/>
      <sz val="11"/>
      <color rgb="FFFF0000"/>
      <name val="Yu Gothic"/>
      <family val="2"/>
    </font>
    <font>
      <sz val="11"/>
      <color theme="1"/>
      <name val="Yu Gothic"/>
      <family val="2"/>
    </font>
    <font>
      <sz val="11"/>
      <color rgb="FFFF0000"/>
      <name val="Calibri"/>
      <family val="2"/>
      <scheme val="minor"/>
    </font>
    <font>
      <sz val="11"/>
      <name val="Yu Gothic"/>
      <family val="2"/>
    </font>
    <font>
      <b/>
      <sz val="11"/>
      <color rgb="FF00B050"/>
      <name val="Cambria"/>
      <family val="1"/>
      <scheme val="major"/>
    </font>
    <font>
      <sz val="11"/>
      <color rgb="FF00B050"/>
      <name val="Calibri"/>
      <family val="2"/>
      <scheme val="minor"/>
    </font>
    <font>
      <b/>
      <sz val="11"/>
      <color theme="3"/>
      <name val="Calibri"/>
      <family val="2"/>
      <scheme val="minor"/>
    </font>
    <font>
      <b/>
      <sz val="11"/>
      <color theme="3"/>
      <name val="Cambria"/>
      <family val="1"/>
    </font>
    <font>
      <sz val="11"/>
      <color theme="0" tint="-0.499984740745262"/>
      <name val="Cambria"/>
      <family val="1"/>
      <scheme val="major"/>
    </font>
    <font>
      <sz val="11"/>
      <color theme="0" tint="-0.499984740745262"/>
      <name val="Cambria"/>
      <family val="1"/>
    </font>
    <font>
      <sz val="11"/>
      <color rgb="FFAD9750"/>
      <name val="Cambria"/>
      <family val="1"/>
    </font>
    <font>
      <sz val="9"/>
      <color indexed="81"/>
      <name val="Tahoma"/>
      <family val="2"/>
    </font>
    <font>
      <b/>
      <sz val="9"/>
      <color indexed="81"/>
      <name val="Tahoma"/>
      <family val="2"/>
    </font>
    <font>
      <b/>
      <sz val="11"/>
      <color theme="0"/>
      <name val="Calibri"/>
      <family val="2"/>
      <scheme val="minor"/>
    </font>
    <font>
      <b/>
      <sz val="11"/>
      <color rgb="FFAD9750"/>
      <name val="Calibri"/>
      <family val="2"/>
      <scheme val="minor"/>
    </font>
    <font>
      <b/>
      <sz val="12"/>
      <color rgb="FFAD9750"/>
      <name val="Cambria"/>
      <family val="1"/>
      <scheme val="major"/>
    </font>
    <font>
      <b/>
      <sz val="12"/>
      <color indexed="81"/>
      <name val="Tahoma"/>
      <family val="2"/>
    </font>
    <font>
      <sz val="12"/>
      <color indexed="81"/>
      <name val="Tahoma"/>
      <family val="2"/>
    </font>
    <font>
      <sz val="8"/>
      <name val="Calibri"/>
      <family val="2"/>
      <scheme val="minor"/>
    </font>
    <font>
      <b/>
      <sz val="11"/>
      <color theme="0" tint="-0.499984740745262"/>
      <name val="Cambria"/>
      <family val="1"/>
      <scheme val="major"/>
    </font>
    <font>
      <b/>
      <sz val="11"/>
      <color theme="0" tint="-0.499984740745262"/>
      <name val="Cambria"/>
      <family val="1"/>
    </font>
    <font>
      <u/>
      <sz val="11"/>
      <color theme="10"/>
      <name val="Calibri"/>
      <family val="2"/>
      <scheme val="minor"/>
    </font>
  </fonts>
  <fills count="10">
    <fill>
      <patternFill patternType="none"/>
    </fill>
    <fill>
      <patternFill patternType="gray125"/>
    </fill>
    <fill>
      <patternFill patternType="solid">
        <fgColor rgb="FF4F81BD"/>
        <bgColor indexed="64"/>
      </patternFill>
    </fill>
    <fill>
      <patternFill patternType="solid">
        <fgColor rgb="FFFFFFFF"/>
        <bgColor indexed="64"/>
      </patternFill>
    </fill>
    <fill>
      <patternFill patternType="solid">
        <fgColor theme="0"/>
        <bgColor indexed="64"/>
      </patternFill>
    </fill>
    <fill>
      <patternFill patternType="solid">
        <fgColor rgb="FFAD9750"/>
        <bgColor indexed="64"/>
      </patternFill>
    </fill>
    <fill>
      <patternFill patternType="solid">
        <fgColor theme="2" tint="-0.249977111117893"/>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2"/>
        <bgColor indexed="64"/>
      </patternFill>
    </fill>
  </fills>
  <borders count="24">
    <border>
      <left/>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rgb="FFAD9750"/>
      </left>
      <right/>
      <top style="thick">
        <color rgb="FFAD9750"/>
      </top>
      <bottom/>
      <diagonal/>
    </border>
    <border>
      <left/>
      <right/>
      <top style="thick">
        <color rgb="FFAD9750"/>
      </top>
      <bottom/>
      <diagonal/>
    </border>
    <border>
      <left/>
      <right style="thick">
        <color rgb="FFAD9750"/>
      </right>
      <top style="thick">
        <color rgb="FFAD9750"/>
      </top>
      <bottom/>
      <diagonal/>
    </border>
    <border>
      <left style="thick">
        <color rgb="FFAD9750"/>
      </left>
      <right/>
      <top/>
      <bottom/>
      <diagonal/>
    </border>
    <border>
      <left/>
      <right style="thick">
        <color rgb="FFAD9750"/>
      </right>
      <top/>
      <bottom/>
      <diagonal/>
    </border>
    <border>
      <left style="thick">
        <color rgb="FFAD9750"/>
      </left>
      <right/>
      <top/>
      <bottom style="thick">
        <color rgb="FFAD9750"/>
      </bottom>
      <diagonal/>
    </border>
    <border>
      <left/>
      <right/>
      <top/>
      <bottom style="thick">
        <color rgb="FFAD9750"/>
      </bottom>
      <diagonal/>
    </border>
    <border>
      <left/>
      <right style="thick">
        <color rgb="FFAD9750"/>
      </right>
      <top/>
      <bottom style="thick">
        <color rgb="FFAD9750"/>
      </bottom>
      <diagonal/>
    </border>
    <border>
      <left style="medium">
        <color rgb="FFAD9750"/>
      </left>
      <right style="medium">
        <color rgb="FFAD9750"/>
      </right>
      <top style="medium">
        <color rgb="FFAD9750"/>
      </top>
      <bottom style="medium">
        <color rgb="FFAD9750"/>
      </bottom>
      <diagonal/>
    </border>
    <border>
      <left style="thin">
        <color rgb="FFAD9750"/>
      </left>
      <right style="thin">
        <color rgb="FFAD9750"/>
      </right>
      <top style="thin">
        <color rgb="FFAD9750"/>
      </top>
      <bottom style="thin">
        <color rgb="FFAD9750"/>
      </bottom>
      <diagonal/>
    </border>
    <border>
      <left style="thin">
        <color rgb="FFAD9750"/>
      </left>
      <right/>
      <top style="thin">
        <color rgb="FFAD9750"/>
      </top>
      <bottom style="thin">
        <color rgb="FFAD9750"/>
      </bottom>
      <diagonal/>
    </border>
    <border>
      <left style="thin">
        <color theme="0"/>
      </left>
      <right style="thin">
        <color theme="0"/>
      </right>
      <top style="thin">
        <color theme="0"/>
      </top>
      <bottom style="thin">
        <color theme="0"/>
      </bottom>
      <diagonal/>
    </border>
    <border>
      <left style="thin">
        <color rgb="FFAD9750"/>
      </left>
      <right/>
      <top style="thin">
        <color rgb="FFAD9750"/>
      </top>
      <bottom/>
      <diagonal/>
    </border>
    <border>
      <left style="thin">
        <color rgb="FFAD9750"/>
      </left>
      <right/>
      <top/>
      <bottom/>
      <diagonal/>
    </border>
    <border>
      <left/>
      <right/>
      <top/>
      <bottom style="thin">
        <color rgb="FFAD975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1">
    <xf numFmtId="0" fontId="0" fillId="0" borderId="0"/>
    <xf numFmtId="9" fontId="3" fillId="0" borderId="0" applyFont="0" applyFill="0" applyBorder="0" applyAlignment="0" applyProtection="0"/>
    <xf numFmtId="0" fontId="4" fillId="2" borderId="2">
      <alignment horizontal="left"/>
    </xf>
    <xf numFmtId="0" fontId="4" fillId="2" borderId="2">
      <alignment horizontal="right"/>
    </xf>
    <xf numFmtId="0" fontId="5" fillId="3" borderId="1"/>
    <xf numFmtId="0" fontId="4" fillId="2" borderId="3">
      <alignment horizontal="right"/>
    </xf>
    <xf numFmtId="0" fontId="7" fillId="0" borderId="0" applyNumberFormat="0" applyFill="0" applyBorder="0" applyAlignment="0" applyProtection="0"/>
    <xf numFmtId="167" fontId="20" fillId="0" borderId="0">
      <alignment horizontal="center"/>
    </xf>
    <xf numFmtId="0" fontId="1" fillId="0" borderId="0"/>
    <xf numFmtId="164" fontId="3" fillId="0" borderId="0" applyFont="0" applyFill="0" applyBorder="0" applyAlignment="0" applyProtection="0"/>
    <xf numFmtId="0" fontId="55" fillId="0" borderId="0" applyNumberFormat="0" applyFill="0" applyBorder="0" applyAlignment="0" applyProtection="0"/>
  </cellStyleXfs>
  <cellXfs count="216">
    <xf numFmtId="0" fontId="0" fillId="0" borderId="0" xfId="0"/>
    <xf numFmtId="0" fontId="0" fillId="4" borderId="0" xfId="0" applyFill="1"/>
    <xf numFmtId="0" fontId="2" fillId="4" borderId="0" xfId="0" applyFont="1" applyFill="1"/>
    <xf numFmtId="0" fontId="0" fillId="5" borderId="0" xfId="0" applyFill="1"/>
    <xf numFmtId="0" fontId="10" fillId="4" borderId="0" xfId="0" applyFont="1" applyFill="1"/>
    <xf numFmtId="4" fontId="11" fillId="6" borderId="0" xfId="4" applyNumberFormat="1" applyFont="1" applyFill="1" applyBorder="1"/>
    <xf numFmtId="0" fontId="11" fillId="5" borderId="0" xfId="2" applyFont="1" applyFill="1" applyBorder="1" applyAlignment="1">
      <alignment horizontal="right"/>
    </xf>
    <xf numFmtId="0" fontId="11" fillId="5" borderId="0" xfId="3" applyFont="1" applyFill="1" applyBorder="1">
      <alignment horizontal="right"/>
    </xf>
    <xf numFmtId="0" fontId="12" fillId="5" borderId="0" xfId="0" applyFont="1" applyFill="1"/>
    <xf numFmtId="0" fontId="0" fillId="4" borderId="4" xfId="0" applyFill="1" applyBorder="1"/>
    <xf numFmtId="0" fontId="0" fillId="4" borderId="5" xfId="0" applyFill="1" applyBorder="1"/>
    <xf numFmtId="0" fontId="0" fillId="4" borderId="6" xfId="0" applyFill="1" applyBorder="1"/>
    <xf numFmtId="0" fontId="0" fillId="4" borderId="7" xfId="0" applyFill="1" applyBorder="1"/>
    <xf numFmtId="0" fontId="0" fillId="4" borderId="8" xfId="0" applyFill="1" applyBorder="1"/>
    <xf numFmtId="0" fontId="0" fillId="4" borderId="9" xfId="0" applyFill="1" applyBorder="1"/>
    <xf numFmtId="0" fontId="0" fillId="4" borderId="10" xfId="0" applyFill="1" applyBorder="1"/>
    <xf numFmtId="0" fontId="0" fillId="4" borderId="11" xfId="0" applyFill="1" applyBorder="1"/>
    <xf numFmtId="0" fontId="14" fillId="4" borderId="0" xfId="6" applyFont="1" applyFill="1" applyAlignment="1">
      <alignment horizontal="right"/>
    </xf>
    <xf numFmtId="0" fontId="8" fillId="4" borderId="0" xfId="6" applyFont="1" applyFill="1" applyAlignment="1">
      <alignment horizontal="right"/>
    </xf>
    <xf numFmtId="0" fontId="15" fillId="4" borderId="0" xfId="6" applyFont="1" applyFill="1" applyAlignment="1">
      <alignment horizontal="right"/>
    </xf>
    <xf numFmtId="0" fontId="16" fillId="4" borderId="0" xfId="6" applyFont="1" applyFill="1" applyAlignment="1">
      <alignment horizontal="right"/>
    </xf>
    <xf numFmtId="0" fontId="16" fillId="4" borderId="0" xfId="6" applyFont="1" applyFill="1" applyAlignment="1">
      <alignment horizontal="right" wrapText="1"/>
    </xf>
    <xf numFmtId="0" fontId="6" fillId="4" borderId="0" xfId="0" applyFont="1" applyFill="1"/>
    <xf numFmtId="2" fontId="6" fillId="4" borderId="0" xfId="0" applyNumberFormat="1" applyFont="1" applyFill="1"/>
    <xf numFmtId="2" fontId="10" fillId="4" borderId="0" xfId="0" applyNumberFormat="1" applyFont="1" applyFill="1" applyAlignment="1">
      <alignment horizontal="right"/>
    </xf>
    <xf numFmtId="0" fontId="8" fillId="4" borderId="0" xfId="6" applyFont="1" applyFill="1" applyAlignment="1">
      <alignment horizontal="left"/>
    </xf>
    <xf numFmtId="0" fontId="17" fillId="4" borderId="0" xfId="6" applyFont="1" applyFill="1"/>
    <xf numFmtId="2" fontId="9" fillId="7" borderId="0" xfId="0" applyNumberFormat="1" applyFont="1" applyFill="1"/>
    <xf numFmtId="10" fontId="10" fillId="7" borderId="0" xfId="1" applyNumberFormat="1" applyFont="1" applyFill="1" applyBorder="1"/>
    <xf numFmtId="2" fontId="9" fillId="7" borderId="0" xfId="0" applyNumberFormat="1" applyFont="1" applyFill="1" applyAlignment="1">
      <alignment horizontal="right"/>
    </xf>
    <xf numFmtId="10" fontId="18" fillId="7" borderId="0" xfId="1" applyNumberFormat="1" applyFont="1" applyFill="1" applyBorder="1"/>
    <xf numFmtId="0" fontId="19" fillId="5" borderId="0" xfId="0" applyFont="1" applyFill="1"/>
    <xf numFmtId="10" fontId="22" fillId="4" borderId="0" xfId="1" applyNumberFormat="1" applyFont="1" applyFill="1" applyBorder="1" applyAlignment="1">
      <alignment horizontal="center" vertical="center" wrapText="1"/>
    </xf>
    <xf numFmtId="168" fontId="23" fillId="4" borderId="0" xfId="7" applyNumberFormat="1" applyFont="1" applyFill="1" applyAlignment="1">
      <alignment horizontal="center" vertical="center"/>
    </xf>
    <xf numFmtId="169" fontId="24" fillId="4" borderId="0" xfId="7" applyNumberFormat="1" applyFont="1" applyFill="1" applyAlignment="1">
      <alignment horizontal="center" vertical="center"/>
    </xf>
    <xf numFmtId="167" fontId="21" fillId="4" borderId="0" xfId="7" applyFont="1" applyFill="1" applyAlignment="1">
      <alignment horizontal="left" vertical="center"/>
    </xf>
    <xf numFmtId="170" fontId="25" fillId="4" borderId="0" xfId="7" applyNumberFormat="1" applyFont="1" applyFill="1" applyAlignment="1">
      <alignment horizontal="center" vertical="center"/>
    </xf>
    <xf numFmtId="170" fontId="26" fillId="4" borderId="0" xfId="7" applyNumberFormat="1" applyFont="1" applyFill="1" applyAlignment="1">
      <alignment horizontal="center" vertical="center"/>
    </xf>
    <xf numFmtId="170" fontId="27" fillId="4" borderId="0" xfId="7" applyNumberFormat="1" applyFont="1" applyFill="1" applyAlignment="1">
      <alignment horizontal="center" vertical="center"/>
    </xf>
    <xf numFmtId="170" fontId="28" fillId="4" borderId="0" xfId="7" applyNumberFormat="1" applyFont="1" applyFill="1" applyAlignment="1">
      <alignment horizontal="center" vertical="center"/>
    </xf>
    <xf numFmtId="170" fontId="29" fillId="4" borderId="0" xfId="7" applyNumberFormat="1" applyFont="1" applyFill="1" applyAlignment="1">
      <alignment horizontal="center" vertical="center"/>
    </xf>
    <xf numFmtId="0" fontId="30" fillId="4" borderId="12" xfId="0" applyFont="1" applyFill="1" applyBorder="1"/>
    <xf numFmtId="14" fontId="0" fillId="4" borderId="12" xfId="0" applyNumberFormat="1" applyFill="1" applyBorder="1"/>
    <xf numFmtId="2" fontId="10" fillId="4" borderId="0" xfId="0" applyNumberFormat="1" applyFont="1" applyFill="1"/>
    <xf numFmtId="10" fontId="0" fillId="4" borderId="0" xfId="1" applyNumberFormat="1" applyFont="1" applyFill="1"/>
    <xf numFmtId="2" fontId="11" fillId="6" borderId="0" xfId="0" applyNumberFormat="1" applyFont="1" applyFill="1"/>
    <xf numFmtId="2" fontId="9" fillId="6" borderId="0" xfId="0" applyNumberFormat="1" applyFont="1" applyFill="1"/>
    <xf numFmtId="10" fontId="10" fillId="6" borderId="0" xfId="1" applyNumberFormat="1" applyFont="1" applyFill="1" applyBorder="1"/>
    <xf numFmtId="2" fontId="0" fillId="4" borderId="0" xfId="0" applyNumberFormat="1" applyFill="1"/>
    <xf numFmtId="170" fontId="0" fillId="4" borderId="0" xfId="0" applyNumberFormat="1" applyFill="1"/>
    <xf numFmtId="2" fontId="11" fillId="6" borderId="0" xfId="0" applyNumberFormat="1" applyFont="1" applyFill="1" applyAlignment="1">
      <alignment horizontal="right"/>
    </xf>
    <xf numFmtId="0" fontId="33" fillId="4" borderId="0" xfId="6" applyFont="1" applyFill="1" applyAlignment="1">
      <alignment horizontal="right"/>
    </xf>
    <xf numFmtId="0" fontId="34" fillId="4" borderId="0" xfId="0" applyFont="1" applyFill="1"/>
    <xf numFmtId="2" fontId="10" fillId="6" borderId="0" xfId="0" applyNumberFormat="1" applyFont="1" applyFill="1" applyAlignment="1">
      <alignment horizontal="right"/>
    </xf>
    <xf numFmtId="2" fontId="10" fillId="6" borderId="0" xfId="0" applyNumberFormat="1" applyFont="1" applyFill="1"/>
    <xf numFmtId="2" fontId="9" fillId="6" borderId="0" xfId="0" applyNumberFormat="1" applyFont="1" applyFill="1" applyAlignment="1">
      <alignment horizontal="right"/>
    </xf>
    <xf numFmtId="0" fontId="14" fillId="4" borderId="0" xfId="6" applyFont="1" applyFill="1" applyAlignment="1">
      <alignment horizontal="right" wrapText="1"/>
    </xf>
    <xf numFmtId="2" fontId="10" fillId="7" borderId="0" xfId="0" applyNumberFormat="1" applyFont="1" applyFill="1"/>
    <xf numFmtId="0" fontId="0" fillId="4" borderId="0" xfId="0" applyFill="1" applyAlignment="1">
      <alignment horizontal="right"/>
    </xf>
    <xf numFmtId="0" fontId="15" fillId="4" borderId="0" xfId="6" applyFont="1" applyFill="1" applyAlignment="1">
      <alignment horizontal="right" wrapText="1"/>
    </xf>
    <xf numFmtId="166" fontId="0" fillId="4" borderId="0" xfId="1" applyNumberFormat="1" applyFont="1" applyFill="1"/>
    <xf numFmtId="2" fontId="35" fillId="4" borderId="0" xfId="0" applyNumberFormat="1" applyFont="1" applyFill="1"/>
    <xf numFmtId="10" fontId="10" fillId="7" borderId="0" xfId="1" applyNumberFormat="1" applyFont="1" applyFill="1" applyBorder="1" applyAlignment="1">
      <alignment horizontal="right"/>
    </xf>
    <xf numFmtId="171" fontId="0" fillId="4" borderId="0" xfId="0" applyNumberFormat="1" applyFill="1"/>
    <xf numFmtId="166" fontId="10" fillId="6" borderId="0" xfId="1" applyNumberFormat="1" applyFont="1" applyFill="1" applyBorder="1"/>
    <xf numFmtId="4" fontId="0" fillId="4" borderId="0" xfId="0" applyNumberFormat="1" applyFill="1" applyAlignment="1">
      <alignment horizontal="right"/>
    </xf>
    <xf numFmtId="2" fontId="31" fillId="4" borderId="0" xfId="0" applyNumberFormat="1" applyFont="1" applyFill="1"/>
    <xf numFmtId="0" fontId="31" fillId="4" borderId="0" xfId="0" applyFont="1" applyFill="1"/>
    <xf numFmtId="2" fontId="0" fillId="4" borderId="0" xfId="0" applyNumberFormat="1" applyFill="1" applyAlignment="1">
      <alignment horizontal="right"/>
    </xf>
    <xf numFmtId="1" fontId="0" fillId="4" borderId="0" xfId="0" applyNumberFormat="1" applyFill="1"/>
    <xf numFmtId="165" fontId="2" fillId="4" borderId="0" xfId="0" applyNumberFormat="1" applyFont="1" applyFill="1"/>
    <xf numFmtId="0" fontId="33" fillId="4" borderId="0" xfId="0" applyFont="1" applyFill="1"/>
    <xf numFmtId="0" fontId="36" fillId="4" borderId="0" xfId="0" applyFont="1" applyFill="1"/>
    <xf numFmtId="0" fontId="38" fillId="4" borderId="0" xfId="6" applyFont="1" applyFill="1" applyAlignment="1">
      <alignment horizontal="right"/>
    </xf>
    <xf numFmtId="14" fontId="0" fillId="4" borderId="12" xfId="0" applyNumberFormat="1" applyFill="1" applyBorder="1" applyAlignment="1">
      <alignment horizontal="right"/>
    </xf>
    <xf numFmtId="10" fontId="32" fillId="4" borderId="0" xfId="0" applyNumberFormat="1" applyFont="1" applyFill="1"/>
    <xf numFmtId="0" fontId="14" fillId="4" borderId="0" xfId="6" applyFont="1" applyFill="1" applyAlignment="1">
      <alignment horizontal="right" vertical="center" wrapText="1"/>
    </xf>
    <xf numFmtId="0" fontId="0" fillId="4" borderId="0" xfId="0" applyFill="1" applyAlignment="1">
      <alignment vertical="center"/>
    </xf>
    <xf numFmtId="166" fontId="18" fillId="7" borderId="0" xfId="1" applyNumberFormat="1" applyFont="1" applyFill="1" applyBorder="1"/>
    <xf numFmtId="2" fontId="11" fillId="7" borderId="0" xfId="0" applyNumberFormat="1" applyFont="1" applyFill="1"/>
    <xf numFmtId="166" fontId="0" fillId="4" borderId="0" xfId="0" applyNumberFormat="1" applyFill="1"/>
    <xf numFmtId="2" fontId="32" fillId="7" borderId="0" xfId="0" applyNumberFormat="1" applyFont="1" applyFill="1"/>
    <xf numFmtId="168" fontId="32" fillId="6" borderId="0" xfId="0" applyNumberFormat="1" applyFont="1" applyFill="1" applyAlignment="1">
      <alignment horizontal="right"/>
    </xf>
    <xf numFmtId="168" fontId="9" fillId="6" borderId="0" xfId="0" applyNumberFormat="1" applyFont="1" applyFill="1"/>
    <xf numFmtId="168" fontId="11" fillId="6" borderId="0" xfId="0" applyNumberFormat="1" applyFont="1" applyFill="1"/>
    <xf numFmtId="168" fontId="9" fillId="6" borderId="0" xfId="0" applyNumberFormat="1" applyFont="1" applyFill="1" applyAlignment="1">
      <alignment horizontal="right"/>
    </xf>
    <xf numFmtId="166" fontId="32" fillId="6" borderId="0" xfId="1" applyNumberFormat="1" applyFont="1" applyFill="1" applyBorder="1"/>
    <xf numFmtId="168" fontId="11" fillId="6" borderId="0" xfId="0" applyNumberFormat="1" applyFont="1" applyFill="1" applyAlignment="1">
      <alignment horizontal="right"/>
    </xf>
    <xf numFmtId="168" fontId="32" fillId="4" borderId="0" xfId="0" applyNumberFormat="1" applyFont="1" applyFill="1" applyAlignment="1">
      <alignment horizontal="right"/>
    </xf>
    <xf numFmtId="0" fontId="0" fillId="4" borderId="0" xfId="1" applyNumberFormat="1" applyFont="1" applyFill="1"/>
    <xf numFmtId="39" fontId="0" fillId="4" borderId="0" xfId="0" applyNumberFormat="1" applyFill="1"/>
    <xf numFmtId="172" fontId="0" fillId="4" borderId="0" xfId="0" applyNumberFormat="1" applyFill="1"/>
    <xf numFmtId="168" fontId="11" fillId="7" borderId="0" xfId="0" applyNumberFormat="1" applyFont="1" applyFill="1" applyAlignment="1">
      <alignment horizontal="right"/>
    </xf>
    <xf numFmtId="168" fontId="32" fillId="7" borderId="0" xfId="0" applyNumberFormat="1" applyFont="1" applyFill="1" applyAlignment="1">
      <alignment horizontal="right"/>
    </xf>
    <xf numFmtId="39" fontId="31" fillId="4" borderId="0" xfId="0" applyNumberFormat="1" applyFont="1" applyFill="1"/>
    <xf numFmtId="0" fontId="14" fillId="4" borderId="0" xfId="6" applyFont="1" applyFill="1" applyAlignment="1">
      <alignment horizontal="left"/>
    </xf>
    <xf numFmtId="4" fontId="0" fillId="4" borderId="0" xfId="0" applyNumberFormat="1" applyFill="1"/>
    <xf numFmtId="168" fontId="32" fillId="6" borderId="0" xfId="0" quotePrefix="1" applyNumberFormat="1" applyFont="1" applyFill="1" applyAlignment="1">
      <alignment horizontal="right"/>
    </xf>
    <xf numFmtId="2" fontId="10" fillId="6" borderId="0" xfId="0" applyNumberFormat="1" applyFont="1" applyFill="1" applyAlignment="1">
      <alignment horizontal="right" vertical="center"/>
    </xf>
    <xf numFmtId="168" fontId="41" fillId="6" borderId="0" xfId="0" applyNumberFormat="1" applyFont="1" applyFill="1" applyAlignment="1">
      <alignment horizontal="right"/>
    </xf>
    <xf numFmtId="0" fontId="40" fillId="4" borderId="0" xfId="0" applyFont="1" applyFill="1"/>
    <xf numFmtId="168" fontId="0" fillId="4" borderId="0" xfId="0" applyNumberFormat="1" applyFill="1" applyAlignment="1">
      <alignment vertical="center"/>
    </xf>
    <xf numFmtId="0" fontId="42" fillId="4" borderId="0" xfId="6" applyFont="1" applyFill="1" applyAlignment="1">
      <alignment horizontal="right"/>
    </xf>
    <xf numFmtId="2" fontId="10" fillId="7" borderId="0" xfId="1" applyNumberFormat="1" applyFont="1" applyFill="1" applyBorder="1"/>
    <xf numFmtId="2" fontId="10" fillId="7" borderId="0" xfId="1" applyNumberFormat="1" applyFont="1" applyFill="1" applyBorder="1" applyAlignment="1">
      <alignment horizontal="right"/>
    </xf>
    <xf numFmtId="2" fontId="18" fillId="7" borderId="0" xfId="0" applyNumberFormat="1" applyFont="1" applyFill="1" applyAlignment="1">
      <alignment horizontal="right"/>
    </xf>
    <xf numFmtId="2" fontId="16" fillId="4" borderId="0" xfId="6" applyNumberFormat="1" applyFont="1" applyFill="1" applyAlignment="1">
      <alignment horizontal="right" wrapText="1"/>
    </xf>
    <xf numFmtId="10" fontId="0" fillId="4" borderId="0" xfId="0" applyNumberFormat="1" applyFill="1"/>
    <xf numFmtId="0" fontId="0" fillId="6" borderId="0" xfId="0" applyFill="1"/>
    <xf numFmtId="0" fontId="0" fillId="7" borderId="0" xfId="0" applyFill="1"/>
    <xf numFmtId="10" fontId="32" fillId="7" borderId="0" xfId="1" applyNumberFormat="1" applyFont="1" applyFill="1" applyBorder="1"/>
    <xf numFmtId="0" fontId="33" fillId="4" borderId="0" xfId="6" applyFont="1" applyFill="1" applyAlignment="1">
      <alignment horizontal="right" wrapText="1"/>
    </xf>
    <xf numFmtId="0" fontId="33" fillId="4" borderId="0" xfId="6" applyFont="1" applyFill="1" applyAlignment="1">
      <alignment horizontal="right" vertical="center" wrapText="1"/>
    </xf>
    <xf numFmtId="0" fontId="0" fillId="4" borderId="14" xfId="0" applyFill="1" applyBorder="1"/>
    <xf numFmtId="0" fontId="0" fillId="4" borderId="16" xfId="0" applyFill="1" applyBorder="1"/>
    <xf numFmtId="0" fontId="0" fillId="4" borderId="17" xfId="0" applyFill="1" applyBorder="1"/>
    <xf numFmtId="0" fontId="47" fillId="5" borderId="15" xfId="0" applyFont="1" applyFill="1" applyBorder="1"/>
    <xf numFmtId="14" fontId="19" fillId="9" borderId="13" xfId="0" applyNumberFormat="1" applyFont="1" applyFill="1" applyBorder="1"/>
    <xf numFmtId="0" fontId="19" fillId="4" borderId="0" xfId="0" applyFont="1" applyFill="1" applyAlignment="1">
      <alignment horizontal="right"/>
    </xf>
    <xf numFmtId="0" fontId="48" fillId="4" borderId="0" xfId="0" applyFont="1" applyFill="1" applyAlignment="1">
      <alignment horizontal="right"/>
    </xf>
    <xf numFmtId="3" fontId="0" fillId="4" borderId="13" xfId="0" applyNumberFormat="1" applyFill="1" applyBorder="1" applyAlignment="1">
      <alignment horizontal="right"/>
    </xf>
    <xf numFmtId="3" fontId="47" fillId="5" borderId="15" xfId="0" applyNumberFormat="1" applyFont="1" applyFill="1" applyBorder="1" applyAlignment="1">
      <alignment horizontal="right"/>
    </xf>
    <xf numFmtId="0" fontId="47" fillId="5" borderId="15" xfId="0" applyFont="1" applyFill="1" applyBorder="1" applyAlignment="1">
      <alignment horizontal="right"/>
    </xf>
    <xf numFmtId="10" fontId="0" fillId="4" borderId="13" xfId="1" applyNumberFormat="1" applyFont="1" applyFill="1" applyBorder="1" applyAlignment="1">
      <alignment horizontal="right"/>
    </xf>
    <xf numFmtId="2" fontId="10" fillId="7" borderId="0" xfId="0" applyNumberFormat="1" applyFont="1" applyFill="1" applyAlignment="1">
      <alignment horizontal="right"/>
    </xf>
    <xf numFmtId="2" fontId="10" fillId="7" borderId="0" xfId="0" applyNumberFormat="1" applyFont="1" applyFill="1" applyAlignment="1">
      <alignment horizontal="right" vertical="center"/>
    </xf>
    <xf numFmtId="170" fontId="18" fillId="7" borderId="0" xfId="0" applyNumberFormat="1" applyFont="1" applyFill="1"/>
    <xf numFmtId="170" fontId="32" fillId="6" borderId="0" xfId="0" applyNumberFormat="1" applyFont="1" applyFill="1" applyAlignment="1">
      <alignment horizontal="right"/>
    </xf>
    <xf numFmtId="168" fontId="44" fillId="4" borderId="0" xfId="0" applyNumberFormat="1" applyFont="1" applyFill="1" applyAlignment="1">
      <alignment horizontal="right"/>
    </xf>
    <xf numFmtId="0" fontId="49" fillId="4" borderId="0" xfId="6" applyFont="1" applyFill="1"/>
    <xf numFmtId="0" fontId="11" fillId="4" borderId="0" xfId="2" applyFont="1" applyFill="1" applyBorder="1" applyAlignment="1">
      <alignment horizontal="right"/>
    </xf>
    <xf numFmtId="173" fontId="39" fillId="4" borderId="0" xfId="0" applyNumberFormat="1" applyFont="1" applyFill="1"/>
    <xf numFmtId="174" fontId="0" fillId="4" borderId="0" xfId="0" applyNumberFormat="1" applyFill="1"/>
    <xf numFmtId="173" fontId="0" fillId="4" borderId="0" xfId="0" applyNumberFormat="1" applyFill="1"/>
    <xf numFmtId="173" fontId="31" fillId="4" borderId="0" xfId="0" applyNumberFormat="1" applyFont="1" applyFill="1"/>
    <xf numFmtId="171" fontId="31" fillId="4" borderId="0" xfId="0" applyNumberFormat="1" applyFont="1" applyFill="1"/>
    <xf numFmtId="166" fontId="31" fillId="4" borderId="0" xfId="1" applyNumberFormat="1" applyFont="1" applyFill="1"/>
    <xf numFmtId="166" fontId="39" fillId="4" borderId="0" xfId="1" applyNumberFormat="1" applyFont="1" applyFill="1"/>
    <xf numFmtId="173" fontId="0" fillId="4" borderId="0" xfId="9" applyNumberFormat="1" applyFont="1" applyFill="1"/>
    <xf numFmtId="173" fontId="31" fillId="4" borderId="0" xfId="9" applyNumberFormat="1" applyFont="1" applyFill="1"/>
    <xf numFmtId="174" fontId="0" fillId="4" borderId="0" xfId="9" applyNumberFormat="1" applyFont="1" applyFill="1"/>
    <xf numFmtId="165" fontId="2" fillId="4" borderId="0" xfId="0" applyNumberFormat="1" applyFont="1" applyFill="1" applyAlignment="1">
      <alignment horizontal="right"/>
    </xf>
    <xf numFmtId="175" fontId="0" fillId="4" borderId="0" xfId="0" applyNumberFormat="1" applyFill="1"/>
    <xf numFmtId="173" fontId="0" fillId="6" borderId="0" xfId="0" applyNumberFormat="1" applyFill="1" applyAlignment="1">
      <alignment horizontal="right"/>
    </xf>
    <xf numFmtId="171" fontId="31" fillId="6" borderId="0" xfId="0" applyNumberFormat="1" applyFont="1" applyFill="1"/>
    <xf numFmtId="176" fontId="0" fillId="4" borderId="0" xfId="0" applyNumberFormat="1" applyFill="1"/>
    <xf numFmtId="0" fontId="36" fillId="5" borderId="0" xfId="0" applyFont="1" applyFill="1"/>
    <xf numFmtId="10" fontId="0" fillId="6" borderId="0" xfId="1" applyNumberFormat="1" applyFont="1" applyFill="1" applyAlignment="1">
      <alignment horizontal="right"/>
    </xf>
    <xf numFmtId="14" fontId="49" fillId="4" borderId="0" xfId="6" applyNumberFormat="1" applyFont="1" applyFill="1"/>
    <xf numFmtId="170" fontId="44" fillId="7" borderId="0" xfId="0" applyNumberFormat="1" applyFont="1" applyFill="1" applyAlignment="1">
      <alignment horizontal="right"/>
    </xf>
    <xf numFmtId="170" fontId="43" fillId="6" borderId="0" xfId="0" applyNumberFormat="1" applyFont="1" applyFill="1" applyAlignment="1">
      <alignment horizontal="right"/>
    </xf>
    <xf numFmtId="170" fontId="43" fillId="7" borderId="0" xfId="0" applyNumberFormat="1" applyFont="1" applyFill="1" applyAlignment="1">
      <alignment horizontal="right"/>
    </xf>
    <xf numFmtId="10" fontId="10" fillId="4" borderId="0" xfId="1" applyNumberFormat="1" applyFont="1" applyFill="1"/>
    <xf numFmtId="10" fontId="32" fillId="6" borderId="0" xfId="1" applyNumberFormat="1" applyFont="1" applyFill="1" applyAlignment="1">
      <alignment horizontal="right"/>
    </xf>
    <xf numFmtId="10" fontId="32" fillId="7" borderId="0" xfId="1" applyNumberFormat="1" applyFont="1" applyFill="1" applyAlignment="1">
      <alignment horizontal="right"/>
    </xf>
    <xf numFmtId="166" fontId="32" fillId="7" borderId="0" xfId="1" applyNumberFormat="1" applyFont="1" applyFill="1" applyBorder="1"/>
    <xf numFmtId="168" fontId="10" fillId="6" borderId="0" xfId="0" applyNumberFormat="1" applyFont="1" applyFill="1" applyAlignment="1">
      <alignment horizontal="right"/>
    </xf>
    <xf numFmtId="9" fontId="0" fillId="4" borderId="0" xfId="1" applyFont="1" applyFill="1"/>
    <xf numFmtId="2" fontId="36" fillId="4" borderId="0" xfId="0" applyNumberFormat="1" applyFont="1" applyFill="1"/>
    <xf numFmtId="168" fontId="32" fillId="6" borderId="0" xfId="0" applyNumberFormat="1" applyFont="1" applyFill="1" applyAlignment="1">
      <alignment horizontal="right" vertical="center"/>
    </xf>
    <xf numFmtId="0" fontId="0" fillId="4" borderId="22" xfId="0" applyFill="1" applyBorder="1"/>
    <xf numFmtId="0" fontId="0" fillId="4" borderId="23" xfId="0" applyFill="1" applyBorder="1"/>
    <xf numFmtId="2" fontId="0" fillId="4" borderId="23" xfId="0" applyNumberFormat="1" applyFill="1" applyBorder="1"/>
    <xf numFmtId="171" fontId="0" fillId="8" borderId="23" xfId="0" applyNumberFormat="1" applyFill="1" applyBorder="1"/>
    <xf numFmtId="0" fontId="19" fillId="4" borderId="23" xfId="0" applyFont="1" applyFill="1" applyBorder="1"/>
    <xf numFmtId="177" fontId="37" fillId="4" borderId="0" xfId="0" applyNumberFormat="1" applyFont="1" applyFill="1" applyAlignment="1">
      <alignment horizontal="left"/>
    </xf>
    <xf numFmtId="178" fontId="0" fillId="4" borderId="0" xfId="0" applyNumberFormat="1" applyFill="1"/>
    <xf numFmtId="177" fontId="37" fillId="4" borderId="0" xfId="0" applyNumberFormat="1" applyFont="1" applyFill="1" applyAlignment="1">
      <alignment horizontal="right"/>
    </xf>
    <xf numFmtId="165" fontId="0" fillId="6" borderId="0" xfId="0" applyNumberFormat="1" applyFill="1" applyAlignment="1">
      <alignment horizontal="right"/>
    </xf>
    <xf numFmtId="165" fontId="0" fillId="7" borderId="0" xfId="0" applyNumberFormat="1" applyFill="1"/>
    <xf numFmtId="10" fontId="0" fillId="7" borderId="0" xfId="1" applyNumberFormat="1" applyFont="1" applyFill="1"/>
    <xf numFmtId="165" fontId="0" fillId="7" borderId="0" xfId="0" applyNumberFormat="1" applyFill="1" applyAlignment="1">
      <alignment horizontal="right"/>
    </xf>
    <xf numFmtId="10" fontId="32" fillId="7" borderId="0" xfId="1" applyNumberFormat="1" applyFont="1" applyFill="1" applyBorder="1" applyAlignment="1">
      <alignment horizontal="right"/>
    </xf>
    <xf numFmtId="2" fontId="32" fillId="7" borderId="0" xfId="1" applyNumberFormat="1" applyFont="1" applyFill="1" applyBorder="1" applyAlignment="1">
      <alignment horizontal="right"/>
    </xf>
    <xf numFmtId="2" fontId="32" fillId="7" borderId="0" xfId="1" applyNumberFormat="1" applyFont="1" applyFill="1" applyBorder="1"/>
    <xf numFmtId="168" fontId="0" fillId="4" borderId="0" xfId="0" applyNumberFormat="1" applyFill="1"/>
    <xf numFmtId="179" fontId="11" fillId="7" borderId="0" xfId="0" applyNumberFormat="1" applyFont="1" applyFill="1"/>
    <xf numFmtId="179" fontId="32" fillId="7" borderId="0" xfId="0" applyNumberFormat="1" applyFont="1" applyFill="1"/>
    <xf numFmtId="179" fontId="32" fillId="7" borderId="0" xfId="0" applyNumberFormat="1" applyFont="1" applyFill="1" applyAlignment="1">
      <alignment horizontal="right"/>
    </xf>
    <xf numFmtId="179" fontId="11" fillId="7" borderId="0" xfId="0" applyNumberFormat="1" applyFont="1" applyFill="1" applyAlignment="1">
      <alignment horizontal="right"/>
    </xf>
    <xf numFmtId="179" fontId="37" fillId="7" borderId="0" xfId="0" applyNumberFormat="1" applyFont="1" applyFill="1" applyAlignment="1">
      <alignment vertical="center"/>
    </xf>
    <xf numFmtId="41" fontId="0" fillId="4" borderId="0" xfId="0" applyNumberFormat="1" applyFill="1"/>
    <xf numFmtId="179" fontId="10" fillId="7" borderId="0" xfId="0" applyNumberFormat="1" applyFont="1" applyFill="1"/>
    <xf numFmtId="179" fontId="9" fillId="7" borderId="0" xfId="0" applyNumberFormat="1" applyFont="1" applyFill="1"/>
    <xf numFmtId="179" fontId="2" fillId="4" borderId="0" xfId="0" applyNumberFormat="1" applyFont="1" applyFill="1"/>
    <xf numFmtId="179" fontId="9" fillId="7" borderId="0" xfId="0" applyNumberFormat="1" applyFont="1" applyFill="1" applyAlignment="1">
      <alignment horizontal="right"/>
    </xf>
    <xf numFmtId="179" fontId="0" fillId="4" borderId="0" xfId="0" applyNumberFormat="1" applyFill="1"/>
    <xf numFmtId="39" fontId="0" fillId="4" borderId="0" xfId="0" applyNumberFormat="1" applyFill="1" applyAlignment="1">
      <alignment horizontal="left"/>
    </xf>
    <xf numFmtId="179" fontId="39" fillId="4" borderId="0" xfId="0" applyNumberFormat="1" applyFont="1" applyFill="1"/>
    <xf numFmtId="170" fontId="11" fillId="7" borderId="0" xfId="0" applyNumberFormat="1" applyFont="1" applyFill="1" applyAlignment="1">
      <alignment horizontal="right"/>
    </xf>
    <xf numFmtId="0" fontId="53" fillId="4" borderId="0" xfId="6" applyFont="1" applyFill="1" applyAlignment="1">
      <alignment horizontal="right"/>
    </xf>
    <xf numFmtId="165" fontId="0" fillId="4" borderId="0" xfId="0" applyNumberFormat="1" applyFill="1" applyAlignment="1">
      <alignment horizontal="right"/>
    </xf>
    <xf numFmtId="165" fontId="0" fillId="6" borderId="0" xfId="0" applyNumberFormat="1" applyFill="1" applyAlignment="1">
      <alignment horizontal="right" vertical="center"/>
    </xf>
    <xf numFmtId="0" fontId="14" fillId="4" borderId="0" xfId="6" applyFont="1" applyFill="1" applyAlignment="1">
      <alignment horizontal="right" vertical="center"/>
    </xf>
    <xf numFmtId="0" fontId="44" fillId="4" borderId="0" xfId="6" applyFont="1" applyFill="1" applyAlignment="1">
      <alignment horizontal="right"/>
    </xf>
    <xf numFmtId="0" fontId="18" fillId="4" borderId="0" xfId="6" applyFont="1" applyFill="1" applyAlignment="1">
      <alignment horizontal="right"/>
    </xf>
    <xf numFmtId="0" fontId="54" fillId="4" borderId="0" xfId="6" applyFont="1" applyFill="1" applyAlignment="1">
      <alignment horizontal="right"/>
    </xf>
    <xf numFmtId="0" fontId="55" fillId="4" borderId="0" xfId="10" applyFill="1"/>
    <xf numFmtId="0" fontId="49" fillId="4" borderId="0" xfId="6" applyFont="1" applyFill="1" applyAlignment="1">
      <alignment horizontal="right" vertical="center"/>
    </xf>
    <xf numFmtId="179" fontId="10" fillId="6" borderId="0" xfId="0" applyNumberFormat="1" applyFont="1" applyFill="1"/>
    <xf numFmtId="165" fontId="2" fillId="7" borderId="0" xfId="0" applyNumberFormat="1" applyFont="1" applyFill="1" applyAlignment="1">
      <alignment horizontal="right" vertical="center"/>
    </xf>
    <xf numFmtId="165" fontId="31" fillId="6" borderId="0" xfId="0" applyNumberFormat="1" applyFont="1" applyFill="1" applyAlignment="1">
      <alignment horizontal="right" vertical="center"/>
    </xf>
    <xf numFmtId="165" fontId="37" fillId="7" borderId="0" xfId="0" applyNumberFormat="1" applyFont="1" applyFill="1" applyAlignment="1">
      <alignment horizontal="right" vertical="center"/>
    </xf>
    <xf numFmtId="166" fontId="31" fillId="6" borderId="0" xfId="0" applyNumberFormat="1" applyFont="1" applyFill="1" applyAlignment="1">
      <alignment horizontal="right" vertical="center"/>
    </xf>
    <xf numFmtId="166" fontId="32" fillId="7" borderId="0" xfId="0" applyNumberFormat="1" applyFont="1" applyFill="1" applyAlignment="1">
      <alignment horizontal="right" vertical="center"/>
    </xf>
    <xf numFmtId="0" fontId="19" fillId="4" borderId="22" xfId="0" applyFont="1" applyFill="1" applyBorder="1" applyAlignment="1">
      <alignment horizontal="right"/>
    </xf>
    <xf numFmtId="170" fontId="11" fillId="6" borderId="0" xfId="0" applyNumberFormat="1" applyFont="1" applyFill="1" applyAlignment="1">
      <alignment horizontal="right"/>
    </xf>
    <xf numFmtId="180" fontId="16" fillId="4" borderId="0" xfId="6" applyNumberFormat="1" applyFont="1" applyFill="1" applyAlignment="1">
      <alignment horizontal="right" wrapText="1"/>
    </xf>
    <xf numFmtId="168" fontId="32" fillId="6" borderId="19" xfId="0" applyNumberFormat="1" applyFont="1" applyFill="1" applyBorder="1" applyAlignment="1">
      <alignment horizontal="center"/>
    </xf>
    <xf numFmtId="168" fontId="32" fillId="6" borderId="20" xfId="0" applyNumberFormat="1" applyFont="1" applyFill="1" applyBorder="1" applyAlignment="1">
      <alignment horizontal="center"/>
    </xf>
    <xf numFmtId="168" fontId="32" fillId="6" borderId="21" xfId="0" applyNumberFormat="1" applyFont="1" applyFill="1" applyBorder="1" applyAlignment="1">
      <alignment horizontal="center"/>
    </xf>
    <xf numFmtId="0" fontId="47" fillId="5" borderId="18" xfId="0" applyFont="1" applyFill="1" applyBorder="1" applyAlignment="1">
      <alignment horizontal="center"/>
    </xf>
    <xf numFmtId="168" fontId="32" fillId="6" borderId="0" xfId="0" applyNumberFormat="1" applyFont="1" applyFill="1" applyAlignment="1">
      <alignment horizontal="right" vertical="center"/>
    </xf>
    <xf numFmtId="168" fontId="10" fillId="6" borderId="0" xfId="0" applyNumberFormat="1" applyFont="1" applyFill="1" applyAlignment="1">
      <alignment horizontal="right" vertical="center"/>
    </xf>
    <xf numFmtId="0" fontId="17" fillId="4" borderId="0" xfId="6" applyFont="1" applyFill="1"/>
    <xf numFmtId="0" fontId="30" fillId="4" borderId="12" xfId="0" applyFont="1" applyFill="1" applyBorder="1" applyAlignment="1">
      <alignment horizontal="center"/>
    </xf>
  </cellXfs>
  <cellStyles count="11">
    <cellStyle name="Currency 2" xfId="9" xr:uid="{8E057330-67C6-484B-9408-D462C1FCE867}"/>
    <cellStyle name="fa_column_header_bottom" xfId="5" xr:uid="{00000000-0005-0000-0000-000001000000}"/>
    <cellStyle name="fa_column_header_top" xfId="3" xr:uid="{00000000-0005-0000-0000-000002000000}"/>
    <cellStyle name="fa_column_header_top_left" xfId="2" xr:uid="{00000000-0005-0000-0000-000003000000}"/>
    <cellStyle name="fa_row_header_standard" xfId="4" xr:uid="{00000000-0005-0000-0000-000004000000}"/>
    <cellStyle name="Hyperlink" xfId="10" builtinId="8"/>
    <cellStyle name="Normal" xfId="0" builtinId="0"/>
    <cellStyle name="Normal 2" xfId="7" xr:uid="{00000000-0005-0000-0000-000006000000}"/>
    <cellStyle name="Normal 3" xfId="8" xr:uid="{00000000-0005-0000-0000-000007000000}"/>
    <cellStyle name="Percent" xfId="1" builtinId="5"/>
    <cellStyle name="Title" xfId="6" builtinId="15"/>
  </cellStyles>
  <dxfs count="0"/>
  <tableStyles count="0" defaultTableStyle="TableStyleMedium2" defaultPivotStyle="PivotStyleMedium9"/>
  <colors>
    <mruColors>
      <color rgb="FFC1B497"/>
      <color rgb="FFAD9750"/>
      <color rgb="FFB9FF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2.png"/><Relationship Id="rId4" Type="http://schemas.openxmlformats.org/officeDocument/2006/relationships/image" Target="../media/image6.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1</xdr:col>
      <xdr:colOff>1</xdr:colOff>
      <xdr:row>17</xdr:row>
      <xdr:rowOff>163285</xdr:rowOff>
    </xdr:from>
    <xdr:to>
      <xdr:col>1</xdr:col>
      <xdr:colOff>3904344</xdr:colOff>
      <xdr:row>31</xdr:row>
      <xdr:rowOff>110035</xdr:rowOff>
    </xdr:to>
    <xdr:pic>
      <xdr:nvPicPr>
        <xdr:cNvPr id="2" name="Picture 1" descr="Image result for financial data">
          <a:extLst>
            <a:ext uri="{FF2B5EF4-FFF2-40B4-BE49-F238E27FC236}">
              <a16:creationId xmlns:a16="http://schemas.microsoft.com/office/drawing/2014/main" id="{42F3A7AE-D54B-4288-8B55-0F72BD1675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4376" y="3592285"/>
          <a:ext cx="3904343" cy="2864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585549</xdr:colOff>
      <xdr:row>1</xdr:row>
      <xdr:rowOff>160358</xdr:rowOff>
    </xdr:from>
    <xdr:to>
      <xdr:col>1</xdr:col>
      <xdr:colOff>5318179</xdr:colOff>
      <xdr:row>10</xdr:row>
      <xdr:rowOff>149421</xdr:rowOff>
    </xdr:to>
    <xdr:pic>
      <xdr:nvPicPr>
        <xdr:cNvPr id="4" name="Imagen 8">
          <a:extLst>
            <a:ext uri="{FF2B5EF4-FFF2-40B4-BE49-F238E27FC236}">
              <a16:creationId xmlns:a16="http://schemas.microsoft.com/office/drawing/2014/main" id="{DF208392-C73D-4928-9BE5-5F81490283C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85549" y="350858"/>
          <a:ext cx="5432038" cy="1694038"/>
        </a:xfrm>
        <a:prstGeom prst="rect">
          <a:avLst/>
        </a:prstGeom>
      </xdr:spPr>
    </xdr:pic>
    <xdr:clientData/>
  </xdr:twoCellAnchor>
  <xdr:twoCellAnchor>
    <xdr:from>
      <xdr:col>19</xdr:col>
      <xdr:colOff>318567</xdr:colOff>
      <xdr:row>150</xdr:row>
      <xdr:rowOff>40556</xdr:rowOff>
    </xdr:from>
    <xdr:to>
      <xdr:col>21</xdr:col>
      <xdr:colOff>831638</xdr:colOff>
      <xdr:row>151</xdr:row>
      <xdr:rowOff>88580</xdr:rowOff>
    </xdr:to>
    <xdr:sp macro="" textlink="">
      <xdr:nvSpPr>
        <xdr:cNvPr id="5" name="Rectangle 4">
          <a:extLst>
            <a:ext uri="{FF2B5EF4-FFF2-40B4-BE49-F238E27FC236}">
              <a16:creationId xmlns:a16="http://schemas.microsoft.com/office/drawing/2014/main" id="{230A31BC-17B1-4074-BB22-D24033E5E9E7}"/>
            </a:ext>
          </a:extLst>
        </xdr:cNvPr>
        <xdr:cNvSpPr/>
      </xdr:nvSpPr>
      <xdr:spPr>
        <a:xfrm>
          <a:off x="14247479" y="30341262"/>
          <a:ext cx="2642188" cy="272142"/>
        </a:xfrm>
        <a:prstGeom prst="rect">
          <a:avLst/>
        </a:prstGeom>
        <a:solidFill>
          <a:srgbClr val="AD975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r"/>
          <a:r>
            <a:rPr lang="en-US" sz="1200" b="1">
              <a:solidFill>
                <a:schemeClr val="bg1"/>
              </a:solidFill>
              <a:latin typeface="+mn-lt"/>
            </a:rPr>
            <a:t>Investment</a:t>
          </a:r>
          <a:r>
            <a:rPr lang="en-US" sz="1200" b="1" baseline="0">
              <a:solidFill>
                <a:schemeClr val="bg1"/>
              </a:solidFill>
              <a:latin typeface="+mn-lt"/>
            </a:rPr>
            <a:t> property - balance</a:t>
          </a:r>
          <a:r>
            <a:rPr lang="en-US" sz="1200" b="1">
              <a:solidFill>
                <a:schemeClr val="bg1"/>
              </a:solidFill>
              <a:latin typeface="+mn-lt"/>
            </a:rPr>
            <a:t> December 31, 2024</a:t>
          </a:r>
        </a:p>
      </xdr:txBody>
    </xdr:sp>
    <xdr:clientData/>
  </xdr:twoCellAnchor>
  <xdr:twoCellAnchor>
    <xdr:from>
      <xdr:col>22</xdr:col>
      <xdr:colOff>88847</xdr:colOff>
      <xdr:row>150</xdr:row>
      <xdr:rowOff>40556</xdr:rowOff>
    </xdr:from>
    <xdr:to>
      <xdr:col>24</xdr:col>
      <xdr:colOff>257736</xdr:colOff>
      <xdr:row>151</xdr:row>
      <xdr:rowOff>88580</xdr:rowOff>
    </xdr:to>
    <xdr:sp macro="" textlink="">
      <xdr:nvSpPr>
        <xdr:cNvPr id="6" name="Rectangle 5">
          <a:extLst>
            <a:ext uri="{FF2B5EF4-FFF2-40B4-BE49-F238E27FC236}">
              <a16:creationId xmlns:a16="http://schemas.microsoft.com/office/drawing/2014/main" id="{23C1CAEE-38AA-48FE-8EE6-5593BC6C36E5}"/>
            </a:ext>
          </a:extLst>
        </xdr:cNvPr>
        <xdr:cNvSpPr/>
      </xdr:nvSpPr>
      <xdr:spPr>
        <a:xfrm>
          <a:off x="16998523" y="30341262"/>
          <a:ext cx="2006654" cy="272142"/>
        </a:xfrm>
        <a:prstGeom prst="rect">
          <a:avLst/>
        </a:prstGeom>
        <a:solidFill>
          <a:srgbClr val="AD975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1">
              <a:solidFill>
                <a:schemeClr val="bg1"/>
              </a:solidFill>
              <a:latin typeface="+mn-lt"/>
            </a:rPr>
            <a:t>EUR 43,022,265</a:t>
          </a:r>
        </a:p>
      </xdr:txBody>
    </xdr:sp>
    <xdr:clientData/>
  </xdr:twoCellAnchor>
  <xdr:oneCellAnchor>
    <xdr:from>
      <xdr:col>19</xdr:col>
      <xdr:colOff>318566</xdr:colOff>
      <xdr:row>152</xdr:row>
      <xdr:rowOff>84363</xdr:rowOff>
    </xdr:from>
    <xdr:ext cx="6102403" cy="2346796"/>
    <xdr:sp macro="" textlink="">
      <xdr:nvSpPr>
        <xdr:cNvPr id="7" name="TextBox 6">
          <a:extLst>
            <a:ext uri="{FF2B5EF4-FFF2-40B4-BE49-F238E27FC236}">
              <a16:creationId xmlns:a16="http://schemas.microsoft.com/office/drawing/2014/main" id="{9E441BDB-F431-416B-A5DB-8454CBF93CF6}"/>
            </a:ext>
          </a:extLst>
        </xdr:cNvPr>
        <xdr:cNvSpPr txBox="1"/>
      </xdr:nvSpPr>
      <xdr:spPr>
        <a:xfrm>
          <a:off x="14247478" y="30799687"/>
          <a:ext cx="6102403" cy="2346796"/>
        </a:xfrm>
        <a:prstGeom prst="rect">
          <a:avLst/>
        </a:prstGeom>
        <a:solidFill>
          <a:schemeClr val="bg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lang="en-US" sz="1200">
              <a:solidFill>
                <a:sysClr val="windowText" lastClr="000000"/>
              </a:solidFill>
              <a:latin typeface="+mn-lt"/>
              <a:ea typeface="Cambria" panose="02040503050406030204" pitchFamily="18" charset="0"/>
            </a:rPr>
            <a:t>As of December 31, 2025, a portion of these properties</a:t>
          </a:r>
          <a:r>
            <a:rPr lang="en-US" sz="1200" baseline="0">
              <a:solidFill>
                <a:sysClr val="windowText" lastClr="000000"/>
              </a:solidFill>
              <a:latin typeface="+mn-lt"/>
              <a:ea typeface="Cambria" panose="02040503050406030204" pitchFamily="18" charset="0"/>
            </a:rPr>
            <a:t> (for a </a:t>
          </a:r>
          <a:r>
            <a:rPr lang="en-US" sz="1200">
              <a:solidFill>
                <a:sysClr val="windowText" lastClr="000000"/>
              </a:solidFill>
              <a:latin typeface="+mn-lt"/>
              <a:ea typeface="Cambria" panose="02040503050406030204" pitchFamily="18" charset="0"/>
            </a:rPr>
            <a:t>fair value of 43,022,265 euros), are mortgaged as collateral for loans granted to the Group.</a:t>
          </a:r>
        </a:p>
        <a:p>
          <a:pPr algn="l"/>
          <a:endParaRPr lang="en-US" sz="1200">
            <a:solidFill>
              <a:sysClr val="windowText" lastClr="000000"/>
            </a:solidFill>
            <a:latin typeface="+mn-lt"/>
            <a:ea typeface="Cambria" panose="02040503050406030204" pitchFamily="18" charset="0"/>
          </a:endParaRPr>
        </a:p>
        <a:p>
          <a:pPr algn="l"/>
          <a:r>
            <a:rPr lang="en-US" sz="1200">
              <a:solidFill>
                <a:sysClr val="windowText" lastClr="000000"/>
              </a:solidFill>
              <a:latin typeface="+mn-lt"/>
              <a:ea typeface="Cambria" panose="02040503050406030204" pitchFamily="18" charset="0"/>
            </a:rPr>
            <a:t>Significant investments:</a:t>
          </a:r>
        </a:p>
        <a:p>
          <a:pPr algn="l"/>
          <a:endParaRPr lang="en-US" sz="1200">
            <a:solidFill>
              <a:sysClr val="windowText" lastClr="000000"/>
            </a:solidFill>
            <a:latin typeface="+mn-lt"/>
            <a:ea typeface="Cambria" panose="02040503050406030204" pitchFamily="18" charset="0"/>
          </a:endParaRPr>
        </a:p>
        <a:p>
          <a:pPr algn="l"/>
          <a:r>
            <a:rPr lang="en-US" sz="1200">
              <a:solidFill>
                <a:sysClr val="windowText" lastClr="000000"/>
              </a:solidFill>
              <a:latin typeface="+mn-lt"/>
              <a:ea typeface="Cambria" panose="02040503050406030204" pitchFamily="18" charset="0"/>
            </a:rPr>
            <a:t>- Buildings for rent, basically vacation rentals, located in the Port Saplaya complex (Valencia, Spain), for a reasonable value of 26,520 thousand euros.</a:t>
          </a:r>
        </a:p>
        <a:p>
          <a:pPr algn="l"/>
          <a:r>
            <a:rPr lang="en-US" sz="1200">
              <a:solidFill>
                <a:sysClr val="windowText" lastClr="000000"/>
              </a:solidFill>
              <a:latin typeface="+mn-lt"/>
              <a:ea typeface="Cambria" panose="02040503050406030204" pitchFamily="18" charset="0"/>
            </a:rPr>
            <a:t>- Residential buildings and commercial</a:t>
          </a:r>
          <a:r>
            <a:rPr lang="en-US" sz="1200" baseline="0">
              <a:solidFill>
                <a:sysClr val="windowText" lastClr="000000"/>
              </a:solidFill>
              <a:latin typeface="+mn-lt"/>
              <a:ea typeface="Cambria" panose="02040503050406030204" pitchFamily="18" charset="0"/>
            </a:rPr>
            <a:t> </a:t>
          </a:r>
          <a:r>
            <a:rPr lang="en-US" sz="1200">
              <a:solidFill>
                <a:sysClr val="windowText" lastClr="000000"/>
              </a:solidFill>
              <a:latin typeface="+mn-lt"/>
              <a:ea typeface="Cambria" panose="02040503050406030204" pitchFamily="18" charset="0"/>
            </a:rPr>
            <a:t>premises/properties in the center of Valencia (Spain) for a reasonable value of 16,502 thousand euros.</a:t>
          </a:r>
        </a:p>
        <a:p>
          <a:pPr algn="l"/>
          <a:endParaRPr lang="en-US" sz="1200">
            <a:solidFill>
              <a:sysClr val="windowText" lastClr="000000"/>
            </a:solidFill>
            <a:latin typeface="+mn-lt"/>
            <a:ea typeface="Cambria" panose="02040503050406030204" pitchFamily="18" charset="0"/>
          </a:endParaRPr>
        </a:p>
        <a:p>
          <a:pPr algn="l"/>
          <a:r>
            <a:rPr lang="en-US" sz="1200">
              <a:solidFill>
                <a:sysClr val="windowText" lastClr="000000"/>
              </a:solidFill>
              <a:latin typeface="+mn-lt"/>
              <a:ea typeface="Cambria" panose="02040503050406030204" pitchFamily="18" charset="0"/>
            </a:rPr>
            <a:t>Group's rea</a:t>
          </a:r>
          <a:r>
            <a:rPr lang="en-US" sz="1200" baseline="0">
              <a:solidFill>
                <a:sysClr val="windowText" lastClr="000000"/>
              </a:solidFill>
              <a:latin typeface="+mn-lt"/>
              <a:ea typeface="Cambria" panose="02040503050406030204" pitchFamily="18" charset="0"/>
            </a:rPr>
            <a:t>l estate investments correspond mainly to properties intended for exploitation on a rental basis.</a:t>
          </a:r>
          <a:endParaRPr lang="en-US" sz="1200">
            <a:solidFill>
              <a:sysClr val="windowText" lastClr="000000"/>
            </a:solidFill>
            <a:latin typeface="+mn-lt"/>
            <a:ea typeface="Cambria" panose="02040503050406030204" pitchFamily="18" charset="0"/>
          </a:endParaRPr>
        </a:p>
      </xdr:txBody>
    </xdr:sp>
    <xdr:clientData/>
  </xdr:oneCellAnchor>
  <xdr:oneCellAnchor>
    <xdr:from>
      <xdr:col>19</xdr:col>
      <xdr:colOff>312965</xdr:colOff>
      <xdr:row>164</xdr:row>
      <xdr:rowOff>166008</xdr:rowOff>
    </xdr:from>
    <xdr:ext cx="6096799" cy="280205"/>
    <xdr:sp macro="" textlink="">
      <xdr:nvSpPr>
        <xdr:cNvPr id="8" name="TextBox 7">
          <a:extLst>
            <a:ext uri="{FF2B5EF4-FFF2-40B4-BE49-F238E27FC236}">
              <a16:creationId xmlns:a16="http://schemas.microsoft.com/office/drawing/2014/main" id="{1F0D0EC9-C095-4C94-90F8-A7549CDAA31E}"/>
            </a:ext>
          </a:extLst>
        </xdr:cNvPr>
        <xdr:cNvSpPr txBox="1"/>
      </xdr:nvSpPr>
      <xdr:spPr>
        <a:xfrm>
          <a:off x="23715890" y="32417658"/>
          <a:ext cx="6096799" cy="280205"/>
        </a:xfrm>
        <a:prstGeom prst="rect">
          <a:avLst/>
        </a:prstGeom>
        <a:solidFill>
          <a:schemeClr val="bg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lang="en-US" sz="1200"/>
            <a:t>The composition of 'Other assets' of current financial investments is as follows:</a:t>
          </a:r>
        </a:p>
      </xdr:txBody>
    </xdr:sp>
    <xdr:clientData/>
  </xdr:oneCellAnchor>
  <xdr:oneCellAnchor>
    <xdr:from>
      <xdr:col>19</xdr:col>
      <xdr:colOff>312965</xdr:colOff>
      <xdr:row>174</xdr:row>
      <xdr:rowOff>1</xdr:rowOff>
    </xdr:from>
    <xdr:ext cx="6108005" cy="468077"/>
    <xdr:sp macro="" textlink="">
      <xdr:nvSpPr>
        <xdr:cNvPr id="9" name="TextBox 8">
          <a:extLst>
            <a:ext uri="{FF2B5EF4-FFF2-40B4-BE49-F238E27FC236}">
              <a16:creationId xmlns:a16="http://schemas.microsoft.com/office/drawing/2014/main" id="{8027CE2A-08FD-4BDB-9420-C1B9E3599198}"/>
            </a:ext>
          </a:extLst>
        </xdr:cNvPr>
        <xdr:cNvSpPr txBox="1"/>
      </xdr:nvSpPr>
      <xdr:spPr>
        <a:xfrm>
          <a:off x="23715890" y="34232851"/>
          <a:ext cx="6108005" cy="468077"/>
        </a:xfrm>
        <a:prstGeom prst="rect">
          <a:avLst/>
        </a:prstGeom>
        <a:solidFill>
          <a:schemeClr val="bg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lang="en-US" sz="1200"/>
            <a:t>These assets are valued at cost since the Group's management understands it best reflects their market value, since it cannot be estimated objectively.</a:t>
          </a:r>
        </a:p>
      </xdr:txBody>
    </xdr:sp>
    <xdr:clientData/>
  </xdr:oneCellAnchor>
  <xdr:oneCellAnchor>
    <xdr:from>
      <xdr:col>28</xdr:col>
      <xdr:colOff>350077</xdr:colOff>
      <xdr:row>139</xdr:row>
      <xdr:rowOff>163286</xdr:rowOff>
    </xdr:from>
    <xdr:ext cx="6739244" cy="655949"/>
    <xdr:sp macro="" textlink="">
      <xdr:nvSpPr>
        <xdr:cNvPr id="10" name="TextBox 9">
          <a:extLst>
            <a:ext uri="{FF2B5EF4-FFF2-40B4-BE49-F238E27FC236}">
              <a16:creationId xmlns:a16="http://schemas.microsoft.com/office/drawing/2014/main" id="{D839D3E6-95CA-4567-A0BE-DBF4343D8A14}"/>
            </a:ext>
          </a:extLst>
        </xdr:cNvPr>
        <xdr:cNvSpPr txBox="1"/>
      </xdr:nvSpPr>
      <xdr:spPr>
        <a:xfrm>
          <a:off x="34687702" y="27509561"/>
          <a:ext cx="6739244" cy="655949"/>
        </a:xfrm>
        <a:prstGeom prst="rect">
          <a:avLst/>
        </a:prstGeom>
        <a:solidFill>
          <a:schemeClr val="bg2"/>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l"/>
          <a:r>
            <a:rPr lang="en-US" sz="1200" b="1"/>
            <a:t>NON CURRENT</a:t>
          </a:r>
        </a:p>
        <a:p>
          <a:pPr algn="l"/>
          <a:br>
            <a:rPr lang="en-US" sz="1200"/>
          </a:br>
          <a:r>
            <a:rPr lang="en-US" sz="1200"/>
            <a:t>Detail of non-current financial</a:t>
          </a:r>
          <a:r>
            <a:rPr lang="en-US" sz="1200" baseline="0"/>
            <a:t> assets &amp; % of share</a:t>
          </a:r>
          <a:r>
            <a:rPr lang="en-US" sz="1200"/>
            <a:t>:</a:t>
          </a:r>
        </a:p>
      </xdr:txBody>
    </xdr:sp>
    <xdr:clientData/>
  </xdr:oneCellAnchor>
  <xdr:twoCellAnchor editAs="oneCell">
    <xdr:from>
      <xdr:col>14</xdr:col>
      <xdr:colOff>559076</xdr:colOff>
      <xdr:row>4</xdr:row>
      <xdr:rowOff>34510</xdr:rowOff>
    </xdr:from>
    <xdr:to>
      <xdr:col>20</xdr:col>
      <xdr:colOff>16536</xdr:colOff>
      <xdr:row>9</xdr:row>
      <xdr:rowOff>80510</xdr:rowOff>
    </xdr:to>
    <xdr:pic>
      <xdr:nvPicPr>
        <xdr:cNvPr id="11" name="Picture 10" descr="LIBERTAS7 - Libertas7">
          <a:extLst>
            <a:ext uri="{FF2B5EF4-FFF2-40B4-BE49-F238E27FC236}">
              <a16:creationId xmlns:a16="http://schemas.microsoft.com/office/drawing/2014/main" id="{DD06DFD5-BC7F-4C0A-A097-CBCA25C99BF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8628001" y="796510"/>
          <a:ext cx="5852843" cy="998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625929</xdr:colOff>
      <xdr:row>16</xdr:row>
      <xdr:rowOff>13607</xdr:rowOff>
    </xdr:from>
    <xdr:to>
      <xdr:col>22</xdr:col>
      <xdr:colOff>271834</xdr:colOff>
      <xdr:row>29</xdr:row>
      <xdr:rowOff>129393</xdr:rowOff>
    </xdr:to>
    <xdr:sp macro="" textlink="">
      <xdr:nvSpPr>
        <xdr:cNvPr id="14" name="Sed ut perspiciatis unde omnis iste natus error sit volup lor sit tatem accusantium doloremque. Sed ut perspiciatis unde omnis iste natus error sit volup lor sit tatem. Sed ut perspiciatis unde omnis iste natus error sit volup lor.">
          <a:extLst>
            <a:ext uri="{FF2B5EF4-FFF2-40B4-BE49-F238E27FC236}">
              <a16:creationId xmlns:a16="http://schemas.microsoft.com/office/drawing/2014/main" id="{7906A41D-2213-4901-AE12-75211C55282B}"/>
            </a:ext>
          </a:extLst>
        </xdr:cNvPr>
        <xdr:cNvSpPr/>
      </xdr:nvSpPr>
      <xdr:spPr>
        <a:xfrm>
          <a:off x="16668750" y="3061607"/>
          <a:ext cx="12164477" cy="3041322"/>
        </a:xfrm>
        <a:prstGeom prst="rect">
          <a:avLst/>
        </a:prstGeom>
        <a:ln w="12700">
          <a:miter lim="400000"/>
        </a:ln>
        <a:extLst>
          <a:ext uri="{C572A759-6A51-4108-AA02-DFA0A04FC94B}">
            <ma14:wrappingTextBoxFlag xmlns:lc="http://schemas.openxmlformats.org/drawingml/2006/lockedCanvas" xmlns:ma14="http://schemas.microsoft.com/office/mac/drawingml/2011/main" xmlns:mc="http://schemas.openxmlformats.org/markup-compatibility/2006" xmlns:p14="http://schemas.microsoft.com/office/powerpoint/2010/main" xmlns:a14="http://schemas.microsoft.com/office/drawing/2010/main" xmlns:a16="http://schemas.microsoft.com/office/drawing/2014/main" xmlns="" xmlns:p="http://schemas.openxmlformats.org/presentationml/2006/main" xmlns:r="http://schemas.openxmlformats.org/officeDocument/2006/relationships" val="1"/>
          </a:ext>
        </a:extLst>
      </xdr:spPr>
      <xdr:txBody>
        <a:bodyPr wrap="square" lIns="22352" tIns="22352" rIns="22352" bIns="22352">
          <a:spAutoFit/>
        </a:bodyPr>
        <a:lstStyle>
          <a:defPPr>
            <a:defRPr lang="en-US"/>
          </a:defPPr>
          <a:lvl1pPr marL="0" algn="just" defTabSz="536387" rtl="0" eaLnBrk="1" latinLnBrk="0" hangingPunct="1">
            <a:lnSpc>
              <a:spcPct val="120000"/>
            </a:lnSpc>
            <a:defRPr sz="2500" kern="1200" cap="none" spc="75">
              <a:solidFill>
                <a:schemeClr val="tx1"/>
              </a:solidFill>
              <a:latin typeface="Raleway Light"/>
              <a:ea typeface="Raleway Light"/>
              <a:cs typeface="Raleway Light"/>
              <a:sym typeface="Raleway Light"/>
            </a:defRPr>
          </a:lvl1pPr>
          <a:lvl2pPr marL="268194" algn="l" defTabSz="536387" rtl="0" eaLnBrk="1" latinLnBrk="0" hangingPunct="1">
            <a:defRPr sz="1056" kern="1200">
              <a:solidFill>
                <a:schemeClr val="tx1"/>
              </a:solidFill>
              <a:latin typeface="+mn-lt"/>
              <a:ea typeface="+mn-ea"/>
              <a:cs typeface="+mn-cs"/>
            </a:defRPr>
          </a:lvl2pPr>
          <a:lvl3pPr marL="536387" algn="l" defTabSz="536387" rtl="0" eaLnBrk="1" latinLnBrk="0" hangingPunct="1">
            <a:defRPr sz="1056" kern="1200">
              <a:solidFill>
                <a:schemeClr val="tx1"/>
              </a:solidFill>
              <a:latin typeface="+mn-lt"/>
              <a:ea typeface="+mn-ea"/>
              <a:cs typeface="+mn-cs"/>
            </a:defRPr>
          </a:lvl3pPr>
          <a:lvl4pPr marL="804581" algn="l" defTabSz="536387" rtl="0" eaLnBrk="1" latinLnBrk="0" hangingPunct="1">
            <a:defRPr sz="1056" kern="1200">
              <a:solidFill>
                <a:schemeClr val="tx1"/>
              </a:solidFill>
              <a:latin typeface="+mn-lt"/>
              <a:ea typeface="+mn-ea"/>
              <a:cs typeface="+mn-cs"/>
            </a:defRPr>
          </a:lvl4pPr>
          <a:lvl5pPr marL="1072774" algn="l" defTabSz="536387" rtl="0" eaLnBrk="1" latinLnBrk="0" hangingPunct="1">
            <a:defRPr sz="1056" kern="1200">
              <a:solidFill>
                <a:schemeClr val="tx1"/>
              </a:solidFill>
              <a:latin typeface="+mn-lt"/>
              <a:ea typeface="+mn-ea"/>
              <a:cs typeface="+mn-cs"/>
            </a:defRPr>
          </a:lvl5pPr>
          <a:lvl6pPr marL="1340968" algn="l" defTabSz="536387" rtl="0" eaLnBrk="1" latinLnBrk="0" hangingPunct="1">
            <a:defRPr sz="1056" kern="1200">
              <a:solidFill>
                <a:schemeClr val="tx1"/>
              </a:solidFill>
              <a:latin typeface="+mn-lt"/>
              <a:ea typeface="+mn-ea"/>
              <a:cs typeface="+mn-cs"/>
            </a:defRPr>
          </a:lvl6pPr>
          <a:lvl7pPr marL="1609161" algn="l" defTabSz="536387" rtl="0" eaLnBrk="1" latinLnBrk="0" hangingPunct="1">
            <a:defRPr sz="1056" kern="1200">
              <a:solidFill>
                <a:schemeClr val="tx1"/>
              </a:solidFill>
              <a:latin typeface="+mn-lt"/>
              <a:ea typeface="+mn-ea"/>
              <a:cs typeface="+mn-cs"/>
            </a:defRPr>
          </a:lvl7pPr>
          <a:lvl8pPr marL="1877355" algn="l" defTabSz="536387" rtl="0" eaLnBrk="1" latinLnBrk="0" hangingPunct="1">
            <a:defRPr sz="1056" kern="1200">
              <a:solidFill>
                <a:schemeClr val="tx1"/>
              </a:solidFill>
              <a:latin typeface="+mn-lt"/>
              <a:ea typeface="+mn-ea"/>
              <a:cs typeface="+mn-cs"/>
            </a:defRPr>
          </a:lvl8pPr>
          <a:lvl9pPr marL="2145548" algn="l" defTabSz="536387" rtl="0" eaLnBrk="1" latinLnBrk="0" hangingPunct="1">
            <a:defRPr sz="1056" kern="1200">
              <a:solidFill>
                <a:schemeClr val="tx1"/>
              </a:solidFill>
              <a:latin typeface="+mn-lt"/>
              <a:ea typeface="+mn-ea"/>
              <a:cs typeface="+mn-cs"/>
            </a:defRPr>
          </a:lvl9pPr>
        </a:lstStyle>
        <a:p>
          <a:pPr algn="just">
            <a:lnSpc>
              <a:spcPct val="107000"/>
            </a:lnSpc>
            <a:spcAft>
              <a:spcPts val="800"/>
            </a:spcAft>
          </a:pPr>
          <a:r>
            <a:rPr lang="en-GB" sz="1200" b="1">
              <a:solidFill>
                <a:srgbClr val="AB8D47"/>
              </a:solidFill>
              <a:latin typeface="Blinker" panose="020B0604020202020204" charset="0"/>
              <a:sym typeface="Raleway"/>
            </a:rPr>
            <a:t>Disclaimer: </a:t>
          </a:r>
          <a:r>
            <a:rPr lang="en-GB" sz="1200">
              <a:solidFill>
                <a:srgbClr val="AB8D47"/>
              </a:solidFill>
              <a:latin typeface="Blinker" panose="020B0604020202020204" charset="0"/>
            </a:rPr>
            <a:t>This document has been prepared by Tenvalue Platform, S.L. (hereinafter "Tenvalue").</a:t>
          </a:r>
        </a:p>
        <a:p>
          <a:pPr algn="just">
            <a:lnSpc>
              <a:spcPct val="107000"/>
            </a:lnSpc>
            <a:spcAft>
              <a:spcPts val="800"/>
            </a:spcAft>
          </a:pPr>
          <a:r>
            <a:rPr lang="en-GB" sz="1200">
              <a:solidFill>
                <a:srgbClr val="AB8D47"/>
              </a:solidFill>
              <a:latin typeface="Blinker" panose="020B0604020202020204" charset="0"/>
            </a:rPr>
            <a:t>In preparing this document, Tenvalue has relied on and assumed, without independent verification, the accuracy and completeness of all information available from public sources. Furthermore, nothing contained in this document is intended to be a valuation of the assets, shares, or businesses of the company or any other entity.</a:t>
          </a:r>
        </a:p>
        <a:p>
          <a:pPr algn="just">
            <a:lnSpc>
              <a:spcPct val="107000"/>
            </a:lnSpc>
            <a:spcAft>
              <a:spcPts val="800"/>
            </a:spcAft>
          </a:pPr>
          <a:r>
            <a:rPr lang="en-GB" sz="1200">
              <a:solidFill>
                <a:srgbClr val="AB8D47"/>
              </a:solidFill>
              <a:latin typeface="Blinker" panose="020B0604020202020204" charset="0"/>
            </a:rPr>
            <a:t>Tenvalue makes no representations regarding the actual value that may be received in connection with a transaction, nor the legal, tax, or accounting effects of consummating a transaction. Unless explicitly stated herein, the information contained in this document does not consider the effects of a potential transaction involving a change of actual or potential control, which may have significant valuation and other effects.</a:t>
          </a:r>
        </a:p>
        <a:p>
          <a:pPr algn="just">
            <a:lnSpc>
              <a:spcPct val="107000"/>
            </a:lnSpc>
            <a:spcAft>
              <a:spcPts val="800"/>
            </a:spcAft>
          </a:pPr>
          <a:r>
            <a:rPr lang="en-GB" sz="1200">
              <a:solidFill>
                <a:srgbClr val="AB8D47"/>
              </a:solidFill>
              <a:latin typeface="Blinker" panose="020B0604020202020204" charset="0"/>
            </a:rPr>
            <a:t>This document is intended solely to provide general information about the company and is not intended to form the basis of any investment decision to acquire part or all of the interests, shares, or stakes in the company. This document should not be construed as an offer or invitation to make an offer to acquire interests or shares of the company under any jurisdiction. Recipients of this document must ensure compliance with all relevant securities legislation and regulations that may apply to them. No representation or warranty (express or implied) is made, and the information contained in this document should not be relied upon, and no liability is accepted for any errors, omissions, or misstatements contained in this document. Accordingly, neither the company, its owners, Tenvalue, nor any of its directors or employees accept any liability arising from the use of this document.</a:t>
          </a:r>
        </a:p>
        <a:p>
          <a:pPr algn="just">
            <a:lnSpc>
              <a:spcPct val="107000"/>
            </a:lnSpc>
            <a:spcAft>
              <a:spcPts val="800"/>
            </a:spcAft>
          </a:pPr>
          <a:r>
            <a:rPr lang="en-GB" sz="1200">
              <a:solidFill>
                <a:srgbClr val="AB8D47"/>
              </a:solidFill>
              <a:latin typeface="Blinker" panose="020B0604020202020204" charset="0"/>
            </a:rPr>
            <a:t>By accepting this document, you agree to be bound by the above conditions and limitations.</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10</xdr:col>
      <xdr:colOff>663874</xdr:colOff>
      <xdr:row>76</xdr:row>
      <xdr:rowOff>102723</xdr:rowOff>
    </xdr:from>
    <xdr:ext cx="8840625" cy="722777"/>
    <xdr:sp macro="" textlink="">
      <xdr:nvSpPr>
        <xdr:cNvPr id="2" name="TextBox 9">
          <a:extLst>
            <a:ext uri="{FF2B5EF4-FFF2-40B4-BE49-F238E27FC236}">
              <a16:creationId xmlns:a16="http://schemas.microsoft.com/office/drawing/2014/main" id="{45239922-D9D5-4968-B6E9-63A3E6103A39}"/>
            </a:ext>
          </a:extLst>
        </xdr:cNvPr>
        <xdr:cNvSpPr txBox="1"/>
      </xdr:nvSpPr>
      <xdr:spPr>
        <a:xfrm>
          <a:off x="14021286" y="14098870"/>
          <a:ext cx="8840625" cy="7227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en-US" sz="1100">
              <a:solidFill>
                <a:schemeClr val="tx1"/>
              </a:solidFill>
              <a:effectLst/>
              <a:latin typeface="+mn-lt"/>
              <a:ea typeface="+mn-ea"/>
              <a:cs typeface="+mn-cs"/>
            </a:rPr>
            <a:t>Grupo Insur carries</a:t>
          </a:r>
          <a:r>
            <a:rPr lang="en-US" sz="1100" baseline="0">
              <a:solidFill>
                <a:schemeClr val="tx1"/>
              </a:solidFill>
              <a:effectLst/>
              <a:latin typeface="+mn-lt"/>
              <a:ea typeface="+mn-ea"/>
              <a:cs typeface="+mn-cs"/>
            </a:rPr>
            <a:t> out comprehensive real estate management and </a:t>
          </a:r>
        </a:p>
        <a:p>
          <a:pPr algn="ctr"/>
          <a:r>
            <a:rPr lang="en-US" sz="1100" baseline="0">
              <a:solidFill>
                <a:schemeClr val="tx1"/>
              </a:solidFill>
              <a:effectLst/>
              <a:latin typeface="+mn-lt"/>
              <a:ea typeface="+mn-ea"/>
              <a:cs typeface="+mn-cs"/>
            </a:rPr>
            <a:t>development in Spain</a:t>
          </a:r>
          <a:endParaRPr lang="es-ES" sz="1100"/>
        </a:p>
      </xdr:txBody>
    </xdr:sp>
    <xdr:clientData/>
  </xdr:oneCellAnchor>
  <xdr:oneCellAnchor>
    <xdr:from>
      <xdr:col>10</xdr:col>
      <xdr:colOff>984505</xdr:colOff>
      <xdr:row>61</xdr:row>
      <xdr:rowOff>131707</xdr:rowOff>
    </xdr:from>
    <xdr:ext cx="8199363" cy="589205"/>
    <xdr:sp macro="" textlink="">
      <xdr:nvSpPr>
        <xdr:cNvPr id="5" name="TextBox 8">
          <a:extLst>
            <a:ext uri="{FF2B5EF4-FFF2-40B4-BE49-F238E27FC236}">
              <a16:creationId xmlns:a16="http://schemas.microsoft.com/office/drawing/2014/main" id="{A1FC9937-0E28-49B4-B88D-ABAA839DC66C}"/>
            </a:ext>
          </a:extLst>
        </xdr:cNvPr>
        <xdr:cNvSpPr txBox="1"/>
      </xdr:nvSpPr>
      <xdr:spPr>
        <a:xfrm>
          <a:off x="14341917" y="11079854"/>
          <a:ext cx="8199363" cy="589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en-US" sz="1100">
              <a:solidFill>
                <a:schemeClr val="tx1"/>
              </a:solidFill>
              <a:effectLst/>
              <a:latin typeface="+mn-lt"/>
              <a:ea typeface="+mn-ea"/>
              <a:cs typeface="+mn-cs"/>
            </a:rPr>
            <a:t>Aedas Homes S.A. is dedicated to the acquisition, promotion and rehabilitation of real estate in Spain, </a:t>
          </a:r>
        </a:p>
        <a:p>
          <a:pPr algn="ctr"/>
          <a:r>
            <a:rPr lang="en-US" sz="1100">
              <a:solidFill>
                <a:schemeClr val="tx1"/>
              </a:solidFill>
              <a:effectLst/>
              <a:latin typeface="+mn-lt"/>
              <a:ea typeface="+mn-ea"/>
              <a:cs typeface="+mn-cs"/>
            </a:rPr>
            <a:t>as well as its ownership, sale and administration.  </a:t>
          </a:r>
          <a:endParaRPr lang="es-ES" sz="1100"/>
        </a:p>
      </xdr:txBody>
    </xdr:sp>
    <xdr:clientData/>
  </xdr:oneCellAnchor>
  <xdr:oneCellAnchor>
    <xdr:from>
      <xdr:col>11</xdr:col>
      <xdr:colOff>127969</xdr:colOff>
      <xdr:row>91</xdr:row>
      <xdr:rowOff>9607</xdr:rowOff>
    </xdr:from>
    <xdr:ext cx="7604022" cy="685158"/>
    <xdr:sp macro="" textlink="">
      <xdr:nvSpPr>
        <xdr:cNvPr id="8" name="TextBox 12">
          <a:extLst>
            <a:ext uri="{FF2B5EF4-FFF2-40B4-BE49-F238E27FC236}">
              <a16:creationId xmlns:a16="http://schemas.microsoft.com/office/drawing/2014/main" id="{CEA64CE7-64DD-4DB1-B103-D0BC81F7749C}"/>
            </a:ext>
          </a:extLst>
        </xdr:cNvPr>
        <xdr:cNvSpPr txBox="1"/>
      </xdr:nvSpPr>
      <xdr:spPr>
        <a:xfrm>
          <a:off x="14639587" y="17053754"/>
          <a:ext cx="7604022" cy="6851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en-US" sz="1100">
              <a:solidFill>
                <a:schemeClr val="tx1"/>
              </a:solidFill>
              <a:effectLst/>
              <a:latin typeface="+mn-lt"/>
              <a:ea typeface="+mn-ea"/>
              <a:cs typeface="+mn-cs"/>
            </a:rPr>
            <a:t>Neinor Homes S.A. Its activity is the promotion, management</a:t>
          </a:r>
          <a:r>
            <a:rPr lang="en-US" sz="1100" baseline="0">
              <a:solidFill>
                <a:schemeClr val="tx1"/>
              </a:solidFill>
              <a:effectLst/>
              <a:latin typeface="+mn-lt"/>
              <a:ea typeface="+mn-ea"/>
              <a:cs typeface="+mn-cs"/>
            </a:rPr>
            <a:t> and development of all </a:t>
          </a:r>
        </a:p>
        <a:p>
          <a:pPr algn="ctr"/>
          <a:r>
            <a:rPr lang="en-US" sz="1100" baseline="0">
              <a:solidFill>
                <a:schemeClr val="tx1"/>
              </a:solidFill>
              <a:effectLst/>
              <a:latin typeface="+mn-lt"/>
              <a:ea typeface="+mn-ea"/>
              <a:cs typeface="+mn-cs"/>
            </a:rPr>
            <a:t>types of real estate and urban planning operations exclusively in Spain. </a:t>
          </a:r>
          <a:endParaRPr lang="es-ES" sz="1100"/>
        </a:p>
      </xdr:txBody>
    </xdr:sp>
    <xdr:clientData/>
  </xdr:oneCellAnchor>
  <xdr:twoCellAnchor editAs="oneCell">
    <xdr:from>
      <xdr:col>0</xdr:col>
      <xdr:colOff>492126</xdr:colOff>
      <xdr:row>2</xdr:row>
      <xdr:rowOff>71438</xdr:rowOff>
    </xdr:from>
    <xdr:to>
      <xdr:col>3</xdr:col>
      <xdr:colOff>741883</xdr:colOff>
      <xdr:row>11</xdr:row>
      <xdr:rowOff>40770</xdr:rowOff>
    </xdr:to>
    <xdr:pic>
      <xdr:nvPicPr>
        <xdr:cNvPr id="11" name="Imagen 12">
          <a:extLst>
            <a:ext uri="{FF2B5EF4-FFF2-40B4-BE49-F238E27FC236}">
              <a16:creationId xmlns:a16="http://schemas.microsoft.com/office/drawing/2014/main" id="{B85E5CE5-22DB-4699-B0B8-6EC106EEA1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2126" y="452438"/>
          <a:ext cx="5450407" cy="1683832"/>
        </a:xfrm>
        <a:prstGeom prst="rect">
          <a:avLst/>
        </a:prstGeom>
      </xdr:spPr>
    </xdr:pic>
    <xdr:clientData/>
  </xdr:twoCellAnchor>
  <xdr:twoCellAnchor editAs="oneCell">
    <xdr:from>
      <xdr:col>13</xdr:col>
      <xdr:colOff>652380</xdr:colOff>
      <xdr:row>56</xdr:row>
      <xdr:rowOff>67235</xdr:rowOff>
    </xdr:from>
    <xdr:to>
      <xdr:col>15</xdr:col>
      <xdr:colOff>293552</xdr:colOff>
      <xdr:row>61</xdr:row>
      <xdr:rowOff>130610</xdr:rowOff>
    </xdr:to>
    <xdr:pic>
      <xdr:nvPicPr>
        <xdr:cNvPr id="4" name="Picture 3">
          <a:extLst>
            <a:ext uri="{FF2B5EF4-FFF2-40B4-BE49-F238E27FC236}">
              <a16:creationId xmlns:a16="http://schemas.microsoft.com/office/drawing/2014/main" id="{A9833F9A-E84C-54D4-7193-0B4C79B14AC2}"/>
            </a:ext>
          </a:extLst>
        </xdr:cNvPr>
        <xdr:cNvPicPr>
          <a:picLocks noChangeAspect="1"/>
        </xdr:cNvPicPr>
      </xdr:nvPicPr>
      <xdr:blipFill>
        <a:blip xmlns:r="http://schemas.openxmlformats.org/officeDocument/2006/relationships" r:embed="rId2"/>
        <a:stretch>
          <a:fillRect/>
        </a:stretch>
      </xdr:blipFill>
      <xdr:spPr>
        <a:xfrm>
          <a:off x="17483615" y="10062882"/>
          <a:ext cx="1915966" cy="1015875"/>
        </a:xfrm>
        <a:prstGeom prst="rect">
          <a:avLst/>
        </a:prstGeom>
      </xdr:spPr>
    </xdr:pic>
    <xdr:clientData/>
  </xdr:twoCellAnchor>
  <xdr:twoCellAnchor editAs="oneCell">
    <xdr:from>
      <xdr:col>13</xdr:col>
      <xdr:colOff>132491</xdr:colOff>
      <xdr:row>87</xdr:row>
      <xdr:rowOff>89647</xdr:rowOff>
    </xdr:from>
    <xdr:to>
      <xdr:col>15</xdr:col>
      <xdr:colOff>813441</xdr:colOff>
      <xdr:row>90</xdr:row>
      <xdr:rowOff>41957</xdr:rowOff>
    </xdr:to>
    <xdr:pic>
      <xdr:nvPicPr>
        <xdr:cNvPr id="6" name="Picture 5">
          <a:extLst>
            <a:ext uri="{FF2B5EF4-FFF2-40B4-BE49-F238E27FC236}">
              <a16:creationId xmlns:a16="http://schemas.microsoft.com/office/drawing/2014/main" id="{683E4E6E-4376-3234-EB9B-82AE9F1E27CA}"/>
            </a:ext>
          </a:extLst>
        </xdr:cNvPr>
        <xdr:cNvPicPr>
          <a:picLocks noChangeAspect="1"/>
        </xdr:cNvPicPr>
      </xdr:nvPicPr>
      <xdr:blipFill>
        <a:blip xmlns:r="http://schemas.openxmlformats.org/officeDocument/2006/relationships" r:embed="rId3"/>
        <a:stretch>
          <a:fillRect/>
        </a:stretch>
      </xdr:blipFill>
      <xdr:spPr>
        <a:xfrm>
          <a:off x="16963726" y="16371794"/>
          <a:ext cx="2955744" cy="523810"/>
        </a:xfrm>
        <a:prstGeom prst="rect">
          <a:avLst/>
        </a:prstGeom>
      </xdr:spPr>
    </xdr:pic>
    <xdr:clientData/>
  </xdr:twoCellAnchor>
  <xdr:twoCellAnchor editAs="oneCell">
    <xdr:from>
      <xdr:col>13</xdr:col>
      <xdr:colOff>638093</xdr:colOff>
      <xdr:row>71</xdr:row>
      <xdr:rowOff>11206</xdr:rowOff>
    </xdr:from>
    <xdr:to>
      <xdr:col>15</xdr:col>
      <xdr:colOff>307839</xdr:colOff>
      <xdr:row>76</xdr:row>
      <xdr:rowOff>30135</xdr:rowOff>
    </xdr:to>
    <xdr:pic>
      <xdr:nvPicPr>
        <xdr:cNvPr id="7" name="Picture 6">
          <a:extLst>
            <a:ext uri="{FF2B5EF4-FFF2-40B4-BE49-F238E27FC236}">
              <a16:creationId xmlns:a16="http://schemas.microsoft.com/office/drawing/2014/main" id="{D680F1FD-2BF8-D11E-37A2-3ACE73F9D18D}"/>
            </a:ext>
          </a:extLst>
        </xdr:cNvPr>
        <xdr:cNvPicPr>
          <a:picLocks noChangeAspect="1"/>
        </xdr:cNvPicPr>
      </xdr:nvPicPr>
      <xdr:blipFill>
        <a:blip xmlns:r="http://schemas.openxmlformats.org/officeDocument/2006/relationships" r:embed="rId4"/>
        <a:stretch>
          <a:fillRect/>
        </a:stretch>
      </xdr:blipFill>
      <xdr:spPr>
        <a:xfrm>
          <a:off x="17469328" y="13054853"/>
          <a:ext cx="1944540" cy="97142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1973036</xdr:colOff>
      <xdr:row>3</xdr:row>
      <xdr:rowOff>54429</xdr:rowOff>
    </xdr:from>
    <xdr:to>
      <xdr:col>10</xdr:col>
      <xdr:colOff>286319</xdr:colOff>
      <xdr:row>9</xdr:row>
      <xdr:rowOff>152606</xdr:rowOff>
    </xdr:to>
    <xdr:pic>
      <xdr:nvPicPr>
        <xdr:cNvPr id="2" name="Imagen 6" descr="Texto&#10;&#10;Descripción generada automáticamente con confianza media">
          <a:extLst>
            <a:ext uri="{FF2B5EF4-FFF2-40B4-BE49-F238E27FC236}">
              <a16:creationId xmlns:a16="http://schemas.microsoft.com/office/drawing/2014/main" id="{9BDBAB79-C678-46C3-AE40-0A60BB94014E}"/>
            </a:ext>
          </a:extLst>
        </xdr:cNvPr>
        <xdr:cNvPicPr>
          <a:picLocks noChangeAspect="1"/>
        </xdr:cNvPicPr>
      </xdr:nvPicPr>
      <xdr:blipFill>
        <a:blip xmlns:r="http://schemas.openxmlformats.org/officeDocument/2006/relationships" r:embed="rId1"/>
        <a:stretch>
          <a:fillRect/>
        </a:stretch>
      </xdr:blipFill>
      <xdr:spPr>
        <a:xfrm>
          <a:off x="15580179" y="625929"/>
          <a:ext cx="3524819" cy="1241177"/>
        </a:xfrm>
        <a:prstGeom prst="rect">
          <a:avLst/>
        </a:prstGeom>
      </xdr:spPr>
    </xdr:pic>
    <xdr:clientData/>
  </xdr:twoCellAnchor>
  <xdr:twoCellAnchor editAs="oneCell">
    <xdr:from>
      <xdr:col>1</xdr:col>
      <xdr:colOff>217714</xdr:colOff>
      <xdr:row>2</xdr:row>
      <xdr:rowOff>0</xdr:rowOff>
    </xdr:from>
    <xdr:to>
      <xdr:col>3</xdr:col>
      <xdr:colOff>2477927</xdr:colOff>
      <xdr:row>10</xdr:row>
      <xdr:rowOff>170038</xdr:rowOff>
    </xdr:to>
    <xdr:pic>
      <xdr:nvPicPr>
        <xdr:cNvPr id="4" name="Imagen 8">
          <a:extLst>
            <a:ext uri="{FF2B5EF4-FFF2-40B4-BE49-F238E27FC236}">
              <a16:creationId xmlns:a16="http://schemas.microsoft.com/office/drawing/2014/main" id="{8F465A38-5C80-427A-B3E7-E88CD4F2E78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38893" y="381000"/>
          <a:ext cx="5430677" cy="1694038"/>
        </a:xfrm>
        <a:prstGeom prst="rect">
          <a:avLst/>
        </a:prstGeom>
      </xdr:spPr>
    </xdr:pic>
    <xdr:clientData/>
  </xdr:twoCellAnchor>
</xdr:wsDr>
</file>

<file path=xl/theme/theme1.xml><?xml version="1.0" encoding="utf-8"?>
<a:theme xmlns:a="http://schemas.openxmlformats.org/drawingml/2006/main" name="Tema de 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libertas7.es/informacion-financiera/"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hyperlink" Target="https://www.neinorhomes.com/en/corporate/investors/financial-information/financial-reports/" TargetMode="External"/><Relationship Id="rId7" Type="http://schemas.openxmlformats.org/officeDocument/2006/relationships/comments" Target="../comments2.xml"/><Relationship Id="rId2" Type="http://schemas.openxmlformats.org/officeDocument/2006/relationships/hyperlink" Target="https://annualreport.aedashomes.com/2024/chairmans_statement" TargetMode="External"/><Relationship Id="rId1" Type="http://schemas.openxmlformats.org/officeDocument/2006/relationships/hyperlink" Target="https://grupoinsur.com/en/shareholder-investor/anual-report" TargetMode="External"/><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D05E6-F5F3-4155-859D-45C11E40BE05}">
  <dimension ref="A14:XDP308"/>
  <sheetViews>
    <sheetView tabSelected="1" topLeftCell="C140" zoomScale="70" zoomScaleNormal="70" workbookViewId="0">
      <selection activeCell="P153" sqref="P153"/>
    </sheetView>
  </sheetViews>
  <sheetFormatPr defaultColWidth="10.7109375" defaultRowHeight="15" outlineLevelRow="1" x14ac:dyDescent="0.25"/>
  <cols>
    <col min="1" max="1" width="10.7109375" style="1"/>
    <col min="2" max="2" width="102.42578125" style="1" customWidth="1"/>
    <col min="3" max="21" width="16" style="1" customWidth="1"/>
    <col min="22" max="22" width="12.7109375" style="1" bestFit="1" customWidth="1"/>
    <col min="23" max="23" width="14" style="1" bestFit="1" customWidth="1"/>
    <col min="24" max="24" width="13.5703125" style="1" bestFit="1" customWidth="1"/>
    <col min="25" max="25" width="31.85546875" style="1" bestFit="1" customWidth="1"/>
    <col min="26" max="26" width="13.5703125" style="1" bestFit="1" customWidth="1"/>
    <col min="27" max="28" width="14.85546875" style="1" bestFit="1" customWidth="1"/>
    <col min="29" max="29" width="56.28515625" style="1" bestFit="1" customWidth="1"/>
    <col min="30" max="30" width="12.7109375" style="1" bestFit="1" customWidth="1"/>
    <col min="31" max="32" width="14" style="1" bestFit="1" customWidth="1"/>
    <col min="33" max="35" width="12.7109375" style="1" bestFit="1" customWidth="1"/>
    <col min="36" max="36" width="12.42578125" style="1" bestFit="1" customWidth="1"/>
    <col min="37" max="16384" width="10.7109375" style="1"/>
  </cols>
  <sheetData>
    <row r="14" s="3" customFormat="1" x14ac:dyDescent="0.25"/>
    <row r="17" spans="2:28" ht="30" x14ac:dyDescent="0.4">
      <c r="B17" s="26" t="s">
        <v>73</v>
      </c>
    </row>
    <row r="21" spans="2:28" ht="17.25" x14ac:dyDescent="0.25">
      <c r="X21" s="32"/>
      <c r="Y21" s="33"/>
      <c r="Z21" s="33"/>
      <c r="AA21" s="35"/>
      <c r="AB21" s="35"/>
    </row>
    <row r="22" spans="2:28" ht="18" thickBot="1" x14ac:dyDescent="0.3">
      <c r="X22" s="32"/>
      <c r="Y22" s="36"/>
      <c r="Z22" s="36"/>
      <c r="AA22" s="35"/>
      <c r="AB22" s="35"/>
    </row>
    <row r="23" spans="2:28" ht="18" thickTop="1" x14ac:dyDescent="0.25">
      <c r="D23" s="9"/>
      <c r="E23" s="10"/>
      <c r="F23" s="10"/>
      <c r="G23" s="10"/>
      <c r="H23" s="10"/>
      <c r="I23" s="10"/>
      <c r="J23" s="11"/>
      <c r="X23" s="32"/>
      <c r="Y23" s="37"/>
      <c r="Z23" s="37"/>
      <c r="AA23" s="35"/>
      <c r="AB23" s="35"/>
    </row>
    <row r="24" spans="2:28" ht="17.25" x14ac:dyDescent="0.25">
      <c r="D24" s="12"/>
      <c r="E24" s="108"/>
      <c r="F24" s="4" t="s">
        <v>100</v>
      </c>
      <c r="J24" s="13"/>
      <c r="X24" s="32"/>
      <c r="Y24" s="38"/>
      <c r="Z24" s="38"/>
      <c r="AA24" s="35"/>
      <c r="AB24" s="35"/>
    </row>
    <row r="25" spans="2:28" ht="17.25" x14ac:dyDescent="0.25">
      <c r="D25" s="12"/>
      <c r="J25" s="13"/>
      <c r="X25" s="32"/>
      <c r="Y25" s="39"/>
      <c r="Z25" s="39"/>
      <c r="AA25" s="35"/>
      <c r="AB25" s="35"/>
    </row>
    <row r="26" spans="2:28" ht="17.25" x14ac:dyDescent="0.25">
      <c r="D26" s="12"/>
      <c r="E26" s="8"/>
      <c r="F26" s="4" t="s">
        <v>101</v>
      </c>
      <c r="J26" s="13"/>
      <c r="X26" s="32"/>
      <c r="Y26" s="39"/>
      <c r="Z26" s="40"/>
      <c r="AA26" s="35"/>
      <c r="AB26" s="35"/>
    </row>
    <row r="27" spans="2:28" ht="17.25" x14ac:dyDescent="0.25">
      <c r="D27" s="12"/>
      <c r="J27" s="13"/>
      <c r="X27" s="32"/>
      <c r="Y27" s="34"/>
      <c r="Z27" s="39"/>
      <c r="AA27" s="35"/>
      <c r="AB27" s="35"/>
    </row>
    <row r="28" spans="2:28" ht="17.25" x14ac:dyDescent="0.25">
      <c r="D28" s="12"/>
      <c r="E28" s="109"/>
      <c r="F28" s="1" t="s">
        <v>290</v>
      </c>
      <c r="J28" s="13"/>
      <c r="X28" s="32"/>
      <c r="Y28" s="34"/>
      <c r="Z28" s="39"/>
      <c r="AA28" s="35"/>
      <c r="AB28" s="35"/>
    </row>
    <row r="29" spans="2:28" ht="15.75" thickBot="1" x14ac:dyDescent="0.3">
      <c r="D29" s="14"/>
      <c r="E29" s="15"/>
      <c r="F29" s="15"/>
      <c r="G29" s="15"/>
      <c r="H29" s="15"/>
      <c r="I29" s="15"/>
      <c r="J29" s="16"/>
    </row>
    <row r="31" spans="2:28" x14ac:dyDescent="0.25">
      <c r="K31" s="51" t="s">
        <v>284</v>
      </c>
      <c r="L31" s="197" t="s">
        <v>285</v>
      </c>
    </row>
    <row r="32" spans="2:28" x14ac:dyDescent="0.25">
      <c r="C32"/>
    </row>
    <row r="34" spans="2:23" ht="22.5" x14ac:dyDescent="0.3">
      <c r="B34" s="25" t="s">
        <v>237</v>
      </c>
      <c r="Q34" s="80"/>
      <c r="R34" s="80"/>
      <c r="T34" s="44"/>
      <c r="W34" s="63"/>
    </row>
    <row r="35" spans="2:23" x14ac:dyDescent="0.25">
      <c r="L35" s="60"/>
      <c r="M35" s="60"/>
      <c r="N35" s="60"/>
      <c r="T35" s="65"/>
      <c r="U35" s="65"/>
      <c r="V35" s="65"/>
    </row>
    <row r="36" spans="2:23" x14ac:dyDescent="0.25">
      <c r="B36" s="4"/>
      <c r="C36" s="43"/>
      <c r="D36" s="43"/>
      <c r="E36" s="43"/>
      <c r="F36" s="43"/>
      <c r="G36" s="65"/>
      <c r="H36" s="65"/>
      <c r="I36" s="65"/>
    </row>
    <row r="37" spans="2:23" ht="22.5" x14ac:dyDescent="0.3">
      <c r="B37" s="18" t="s">
        <v>77</v>
      </c>
      <c r="C37" s="7">
        <v>2013</v>
      </c>
      <c r="D37" s="7">
        <v>2014</v>
      </c>
      <c r="E37" s="7">
        <v>2015</v>
      </c>
      <c r="F37" s="7">
        <v>2016</v>
      </c>
      <c r="G37" s="7">
        <v>2017</v>
      </c>
      <c r="H37" s="7">
        <v>2018</v>
      </c>
      <c r="I37" s="7">
        <v>2019</v>
      </c>
      <c r="J37" s="7">
        <v>2020</v>
      </c>
      <c r="K37" s="7">
        <v>2021</v>
      </c>
      <c r="L37" s="7">
        <v>2022</v>
      </c>
      <c r="M37" s="7">
        <v>2023</v>
      </c>
      <c r="N37" s="7">
        <v>2024</v>
      </c>
      <c r="O37" s="7">
        <v>2025</v>
      </c>
      <c r="P37" s="6" t="s">
        <v>61</v>
      </c>
      <c r="Q37" s="6" t="s">
        <v>78</v>
      </c>
      <c r="R37" s="6" t="s">
        <v>252</v>
      </c>
      <c r="S37" s="6" t="s">
        <v>270</v>
      </c>
    </row>
    <row r="38" spans="2:23" x14ac:dyDescent="0.25">
      <c r="B38" s="51" t="s">
        <v>104</v>
      </c>
      <c r="C38" s="82">
        <v>7.94916</v>
      </c>
      <c r="D38" s="82">
        <v>4.9539999999999997</v>
      </c>
      <c r="E38" s="82">
        <v>2.4005510000000001</v>
      </c>
      <c r="F38" s="82">
        <v>1.9378660000000001</v>
      </c>
      <c r="G38" s="82">
        <v>0.75696300000000005</v>
      </c>
      <c r="H38" s="82">
        <v>1.5002059999999999</v>
      </c>
      <c r="I38" s="82">
        <v>1.309304</v>
      </c>
      <c r="J38" s="82">
        <v>1.214</v>
      </c>
      <c r="K38" s="82">
        <v>13.199</v>
      </c>
      <c r="L38" s="82">
        <v>6.9329999999999998</v>
      </c>
      <c r="M38" s="82">
        <v>7.2960000000000003</v>
      </c>
      <c r="N38" s="82">
        <v>4.4999999999999998E-2</v>
      </c>
      <c r="O38" s="82">
        <v>14.577866999999999</v>
      </c>
      <c r="P38" s="93">
        <f>P44*P70/1000000</f>
        <v>14.59406463</v>
      </c>
      <c r="Q38" s="93">
        <f>Q44*Q70/1000000</f>
        <v>28.929291132600007</v>
      </c>
      <c r="R38" s="93">
        <f>R44*R70/1000000</f>
        <v>37.529435739204004</v>
      </c>
      <c r="S38" s="93">
        <f>S44*S70/1000000</f>
        <v>50.55300939343465</v>
      </c>
    </row>
    <row r="39" spans="2:23" x14ac:dyDescent="0.25">
      <c r="B39" s="51" t="s">
        <v>127</v>
      </c>
      <c r="C39" s="212">
        <v>0.93573799999999996</v>
      </c>
      <c r="D39" s="212">
        <v>0.95482999999999996</v>
      </c>
      <c r="E39" s="212">
        <v>1.279623</v>
      </c>
      <c r="F39" s="212">
        <v>1.5702560000000001</v>
      </c>
      <c r="G39" s="212">
        <v>1.807097</v>
      </c>
      <c r="H39" s="82">
        <v>0.49425400000000003</v>
      </c>
      <c r="I39" s="82">
        <v>0.58371700000000004</v>
      </c>
      <c r="J39" s="82">
        <v>0.47399999999999998</v>
      </c>
      <c r="K39" s="82">
        <v>0.57899999999999996</v>
      </c>
      <c r="L39" s="82">
        <v>0.41299999999999998</v>
      </c>
      <c r="M39" s="82">
        <v>0.38300000000000001</v>
      </c>
      <c r="N39" s="82">
        <v>1.2608189999999999</v>
      </c>
      <c r="O39" s="82">
        <v>0.58244399999999996</v>
      </c>
      <c r="P39" s="93">
        <f>1.05*O39</f>
        <v>0.61156619999999995</v>
      </c>
      <c r="Q39" s="93">
        <f t="shared" ref="Q39:S39" si="0">1.05*P39</f>
        <v>0.64214450999999995</v>
      </c>
      <c r="R39" s="93">
        <f t="shared" si="0"/>
        <v>0.67425173549999995</v>
      </c>
      <c r="S39" s="93">
        <f t="shared" si="0"/>
        <v>0.70796432227499995</v>
      </c>
    </row>
    <row r="40" spans="2:23" x14ac:dyDescent="0.25">
      <c r="B40" s="51" t="s">
        <v>234</v>
      </c>
      <c r="C40" s="212"/>
      <c r="D40" s="212"/>
      <c r="E40" s="212"/>
      <c r="F40" s="212"/>
      <c r="G40" s="212"/>
      <c r="H40" s="82">
        <v>1.686642</v>
      </c>
      <c r="I40" s="82">
        <v>2.205219</v>
      </c>
      <c r="J40" s="82">
        <v>0.59599999999999997</v>
      </c>
      <c r="K40" s="82">
        <v>1.3320000000000001</v>
      </c>
      <c r="L40" s="82">
        <v>2.5270000000000001</v>
      </c>
      <c r="M40" s="82">
        <v>3.16</v>
      </c>
      <c r="N40" s="82">
        <v>3.1653859999999998</v>
      </c>
      <c r="O40" s="82">
        <v>3.4126270000000001</v>
      </c>
      <c r="P40" s="93">
        <f>1.1*1.05*O40-O40*36%</f>
        <v>2.7130384650000008</v>
      </c>
      <c r="Q40" s="93">
        <f>1.1*1.05*P40</f>
        <v>3.1335594270750016</v>
      </c>
      <c r="R40" s="93">
        <f t="shared" ref="R40" si="1">1.1*1.05*Q40</f>
        <v>3.6192611382716278</v>
      </c>
      <c r="S40" s="93">
        <f>1.05*R40</f>
        <v>3.8002241951852094</v>
      </c>
    </row>
    <row r="41" spans="2:23" x14ac:dyDescent="0.25">
      <c r="B41" s="51" t="s">
        <v>102</v>
      </c>
      <c r="C41" s="82">
        <v>3.6240030000000001</v>
      </c>
      <c r="D41" s="82">
        <v>11.138438000000001</v>
      </c>
      <c r="E41" s="82">
        <v>4.4048049999999996</v>
      </c>
      <c r="F41" s="82">
        <v>5.5763470000000002</v>
      </c>
      <c r="G41" s="82">
        <v>5.3303859999999998</v>
      </c>
      <c r="H41" s="82">
        <v>1.19539</v>
      </c>
      <c r="I41" s="82">
        <v>1.383</v>
      </c>
      <c r="J41" s="82">
        <v>1.516</v>
      </c>
      <c r="K41" s="82">
        <v>1.7070000000000001</v>
      </c>
      <c r="L41" s="82">
        <v>1.64</v>
      </c>
      <c r="M41" s="82">
        <v>2.56</v>
      </c>
      <c r="N41" s="82">
        <v>3.3352050000000002</v>
      </c>
      <c r="O41" s="82">
        <v>2.742334</v>
      </c>
      <c r="P41" s="93">
        <f>1.03*O41</f>
        <v>2.8246040200000002</v>
      </c>
      <c r="Q41" s="93">
        <f t="shared" ref="Q41:S41" si="2">1.03*P41</f>
        <v>2.9093421406000002</v>
      </c>
      <c r="R41" s="93">
        <f t="shared" si="2"/>
        <v>2.9966224048180004</v>
      </c>
      <c r="S41" s="93">
        <f t="shared" si="2"/>
        <v>3.0865210769625406</v>
      </c>
    </row>
    <row r="42" spans="2:23" x14ac:dyDescent="0.25">
      <c r="B42" s="19" t="s">
        <v>56</v>
      </c>
      <c r="C42" s="5">
        <f t="shared" ref="C42:H42" si="3">+SUM(C38:C41)</f>
        <v>12.508901</v>
      </c>
      <c r="D42" s="5">
        <f t="shared" si="3"/>
        <v>17.047268000000003</v>
      </c>
      <c r="E42" s="5">
        <f t="shared" si="3"/>
        <v>8.0849790000000006</v>
      </c>
      <c r="F42" s="5">
        <f t="shared" si="3"/>
        <v>9.0844690000000003</v>
      </c>
      <c r="G42" s="5">
        <f t="shared" si="3"/>
        <v>7.8944460000000003</v>
      </c>
      <c r="H42" s="5">
        <f t="shared" si="3"/>
        <v>4.8764919999999998</v>
      </c>
      <c r="I42" s="5">
        <f t="shared" ref="I42:O42" si="4">+SUM(I38:I41)</f>
        <v>5.4812400000000006</v>
      </c>
      <c r="J42" s="5">
        <f t="shared" si="4"/>
        <v>3.8</v>
      </c>
      <c r="K42" s="5">
        <f t="shared" si="4"/>
        <v>16.817</v>
      </c>
      <c r="L42" s="5">
        <f t="shared" si="4"/>
        <v>11.513000000000002</v>
      </c>
      <c r="M42" s="5">
        <f t="shared" si="4"/>
        <v>13.399000000000001</v>
      </c>
      <c r="N42" s="5">
        <f t="shared" si="4"/>
        <v>7.8064099999999996</v>
      </c>
      <c r="O42" s="5">
        <f t="shared" si="4"/>
        <v>21.315272</v>
      </c>
      <c r="P42" s="92">
        <f t="shared" ref="P42:S42" si="5">SUM(P38:P41)</f>
        <v>20.743273315</v>
      </c>
      <c r="Q42" s="92">
        <f t="shared" si="5"/>
        <v>35.614337210275011</v>
      </c>
      <c r="R42" s="92">
        <f t="shared" si="5"/>
        <v>44.819571017793628</v>
      </c>
      <c r="S42" s="92">
        <f t="shared" si="5"/>
        <v>58.147718987857395</v>
      </c>
    </row>
    <row r="43" spans="2:23" s="72" customFormat="1" x14ac:dyDescent="0.25">
      <c r="B43" s="73"/>
      <c r="C43" s="43"/>
      <c r="D43" s="152"/>
      <c r="E43" s="152"/>
      <c r="F43" s="152"/>
      <c r="G43" s="152"/>
      <c r="H43" s="152"/>
      <c r="I43" s="152"/>
      <c r="J43" s="152"/>
      <c r="K43" s="152"/>
      <c r="L43" s="152"/>
      <c r="M43" s="152"/>
      <c r="N43" s="152"/>
      <c r="O43" s="152"/>
      <c r="P43" s="75"/>
      <c r="Q43" s="75"/>
      <c r="R43" s="75"/>
      <c r="S43" s="75"/>
      <c r="T43" s="75"/>
    </row>
    <row r="44" spans="2:23" s="72" customFormat="1" x14ac:dyDescent="0.25">
      <c r="B44" s="51" t="s">
        <v>105</v>
      </c>
      <c r="C44" s="206">
        <v>60</v>
      </c>
      <c r="D44" s="206">
        <v>46</v>
      </c>
      <c r="E44" s="206">
        <v>27</v>
      </c>
      <c r="F44" s="206">
        <v>28</v>
      </c>
      <c r="G44" s="206">
        <v>11</v>
      </c>
      <c r="H44" s="206">
        <v>8</v>
      </c>
      <c r="I44" s="206">
        <v>6</v>
      </c>
      <c r="J44" s="206">
        <v>9</v>
      </c>
      <c r="K44" s="206">
        <v>71</v>
      </c>
      <c r="L44" s="206">
        <v>29</v>
      </c>
      <c r="M44" s="206">
        <v>33</v>
      </c>
      <c r="N44" s="206">
        <v>0</v>
      </c>
      <c r="O44" s="206">
        <v>54</v>
      </c>
      <c r="P44" s="189">
        <f t="shared" ref="P44:S44" si="6">+SUM(P45:P69)</f>
        <v>53</v>
      </c>
      <c r="Q44" s="189">
        <f t="shared" si="6"/>
        <v>103</v>
      </c>
      <c r="R44" s="189">
        <f t="shared" si="6"/>
        <v>131</v>
      </c>
      <c r="S44" s="189">
        <f t="shared" si="6"/>
        <v>173</v>
      </c>
      <c r="T44" s="75"/>
    </row>
    <row r="45" spans="2:23" s="72" customFormat="1" outlineLevel="1" x14ac:dyDescent="0.25">
      <c r="B45" s="102" t="s">
        <v>243</v>
      </c>
      <c r="C45" s="150">
        <v>9</v>
      </c>
      <c r="D45" s="150">
        <v>18</v>
      </c>
      <c r="E45" s="150">
        <v>5</v>
      </c>
      <c r="F45" s="150">
        <v>1</v>
      </c>
      <c r="G45" s="150" t="s">
        <v>91</v>
      </c>
      <c r="H45" s="150" t="s">
        <v>91</v>
      </c>
      <c r="I45" s="150" t="s">
        <v>91</v>
      </c>
      <c r="J45" s="150" t="s">
        <v>91</v>
      </c>
      <c r="K45" s="150" t="s">
        <v>91</v>
      </c>
      <c r="L45" s="150" t="s">
        <v>91</v>
      </c>
      <c r="M45" s="150" t="s">
        <v>91</v>
      </c>
      <c r="N45" s="150" t="s">
        <v>91</v>
      </c>
      <c r="O45" s="150" t="s">
        <v>91</v>
      </c>
      <c r="P45" s="151">
        <v>0</v>
      </c>
      <c r="Q45" s="151">
        <v>0</v>
      </c>
      <c r="R45" s="151">
        <v>0</v>
      </c>
      <c r="S45" s="151">
        <v>0</v>
      </c>
      <c r="T45" s="75"/>
    </row>
    <row r="46" spans="2:23" s="72" customFormat="1" outlineLevel="1" x14ac:dyDescent="0.25">
      <c r="B46" s="102" t="s">
        <v>244</v>
      </c>
      <c r="C46" s="150">
        <v>4</v>
      </c>
      <c r="D46" s="150">
        <v>16</v>
      </c>
      <c r="E46" s="150">
        <v>12</v>
      </c>
      <c r="F46" s="150">
        <v>2</v>
      </c>
      <c r="G46" s="150" t="s">
        <v>91</v>
      </c>
      <c r="H46" s="150" t="s">
        <v>91</v>
      </c>
      <c r="I46" s="150" t="s">
        <v>91</v>
      </c>
      <c r="J46" s="150" t="s">
        <v>91</v>
      </c>
      <c r="K46" s="150" t="s">
        <v>91</v>
      </c>
      <c r="L46" s="150" t="s">
        <v>91</v>
      </c>
      <c r="M46" s="150" t="s">
        <v>91</v>
      </c>
      <c r="N46" s="150" t="s">
        <v>91</v>
      </c>
      <c r="O46" s="150" t="s">
        <v>91</v>
      </c>
      <c r="P46" s="151">
        <v>0</v>
      </c>
      <c r="Q46" s="151">
        <v>0</v>
      </c>
      <c r="R46" s="151">
        <v>0</v>
      </c>
      <c r="S46" s="151">
        <v>0</v>
      </c>
      <c r="T46" s="75"/>
    </row>
    <row r="47" spans="2:23" s="72" customFormat="1" outlineLevel="1" x14ac:dyDescent="0.25">
      <c r="B47" s="102" t="s">
        <v>245</v>
      </c>
      <c r="C47" s="150">
        <v>0</v>
      </c>
      <c r="D47" s="150">
        <v>4</v>
      </c>
      <c r="E47" s="150">
        <v>2</v>
      </c>
      <c r="F47" s="150">
        <v>1</v>
      </c>
      <c r="G47" s="150" t="s">
        <v>91</v>
      </c>
      <c r="H47" s="150" t="s">
        <v>91</v>
      </c>
      <c r="I47" s="150" t="s">
        <v>91</v>
      </c>
      <c r="J47" s="150" t="s">
        <v>91</v>
      </c>
      <c r="K47" s="150" t="s">
        <v>91</v>
      </c>
      <c r="L47" s="150" t="s">
        <v>91</v>
      </c>
      <c r="M47" s="150" t="s">
        <v>91</v>
      </c>
      <c r="N47" s="150" t="s">
        <v>91</v>
      </c>
      <c r="O47" s="150" t="s">
        <v>91</v>
      </c>
      <c r="P47" s="151">
        <v>0</v>
      </c>
      <c r="Q47" s="151">
        <v>0</v>
      </c>
      <c r="R47" s="151">
        <v>0</v>
      </c>
      <c r="S47" s="151">
        <v>0</v>
      </c>
      <c r="T47" s="75"/>
    </row>
    <row r="48" spans="2:23" s="72" customFormat="1" outlineLevel="1" x14ac:dyDescent="0.25">
      <c r="B48" s="102" t="s">
        <v>250</v>
      </c>
      <c r="C48" s="150">
        <v>6</v>
      </c>
      <c r="D48" s="150">
        <v>2</v>
      </c>
      <c r="E48" s="150" t="s">
        <v>91</v>
      </c>
      <c r="F48" s="150" t="s">
        <v>91</v>
      </c>
      <c r="G48" s="150" t="s">
        <v>91</v>
      </c>
      <c r="H48" s="150" t="s">
        <v>91</v>
      </c>
      <c r="I48" s="150" t="s">
        <v>91</v>
      </c>
      <c r="J48" s="150" t="s">
        <v>91</v>
      </c>
      <c r="K48" s="150" t="s">
        <v>91</v>
      </c>
      <c r="L48" s="150" t="s">
        <v>91</v>
      </c>
      <c r="M48" s="150" t="s">
        <v>91</v>
      </c>
      <c r="N48" s="150" t="s">
        <v>91</v>
      </c>
      <c r="O48" s="150" t="s">
        <v>91</v>
      </c>
      <c r="P48" s="151">
        <v>0</v>
      </c>
      <c r="Q48" s="151">
        <v>0</v>
      </c>
      <c r="R48" s="151">
        <v>0</v>
      </c>
      <c r="S48" s="151">
        <v>0</v>
      </c>
      <c r="T48" s="75"/>
    </row>
    <row r="49" spans="2:20" s="72" customFormat="1" outlineLevel="1" x14ac:dyDescent="0.25">
      <c r="B49" s="102" t="s">
        <v>238</v>
      </c>
      <c r="C49" s="150">
        <v>1</v>
      </c>
      <c r="D49" s="150">
        <v>0</v>
      </c>
      <c r="E49" s="150">
        <v>2</v>
      </c>
      <c r="F49" s="150">
        <v>14</v>
      </c>
      <c r="G49" s="150">
        <v>6</v>
      </c>
      <c r="H49" s="150">
        <v>1</v>
      </c>
      <c r="I49" s="150">
        <v>0</v>
      </c>
      <c r="J49" s="150">
        <v>0</v>
      </c>
      <c r="K49" s="150">
        <v>0</v>
      </c>
      <c r="L49" s="150"/>
      <c r="M49" s="150" t="s">
        <v>91</v>
      </c>
      <c r="N49" s="150" t="s">
        <v>91</v>
      </c>
      <c r="O49" s="150" t="s">
        <v>91</v>
      </c>
      <c r="P49" s="151">
        <v>0</v>
      </c>
      <c r="Q49" s="151">
        <v>0</v>
      </c>
      <c r="R49" s="151">
        <v>0</v>
      </c>
      <c r="S49" s="151">
        <v>0</v>
      </c>
      <c r="T49" s="75"/>
    </row>
    <row r="50" spans="2:20" s="72" customFormat="1" outlineLevel="1" x14ac:dyDescent="0.25">
      <c r="B50" s="102" t="s">
        <v>251</v>
      </c>
      <c r="C50" s="150">
        <v>35</v>
      </c>
      <c r="D50" s="150" t="s">
        <v>91</v>
      </c>
      <c r="E50" s="150" t="s">
        <v>91</v>
      </c>
      <c r="F50" s="150" t="s">
        <v>91</v>
      </c>
      <c r="G50" s="150" t="s">
        <v>91</v>
      </c>
      <c r="H50" s="150" t="s">
        <v>91</v>
      </c>
      <c r="I50" s="150" t="s">
        <v>91</v>
      </c>
      <c r="J50" s="150" t="s">
        <v>91</v>
      </c>
      <c r="K50" s="150" t="s">
        <v>91</v>
      </c>
      <c r="L50" s="150" t="s">
        <v>91</v>
      </c>
      <c r="M50" s="150" t="s">
        <v>91</v>
      </c>
      <c r="N50" s="150" t="s">
        <v>91</v>
      </c>
      <c r="O50" s="150" t="s">
        <v>91</v>
      </c>
      <c r="P50" s="151">
        <v>0</v>
      </c>
      <c r="Q50" s="151">
        <v>0</v>
      </c>
      <c r="R50" s="151">
        <v>0</v>
      </c>
      <c r="S50" s="151">
        <v>0</v>
      </c>
      <c r="T50" s="75"/>
    </row>
    <row r="51" spans="2:20" s="72" customFormat="1" outlineLevel="1" x14ac:dyDescent="0.25">
      <c r="B51" s="102" t="s">
        <v>79</v>
      </c>
      <c r="C51" s="150">
        <v>5</v>
      </c>
      <c r="D51" s="150">
        <v>6</v>
      </c>
      <c r="E51" s="150">
        <v>0</v>
      </c>
      <c r="F51" s="150">
        <v>0</v>
      </c>
      <c r="G51" s="150">
        <v>0</v>
      </c>
      <c r="H51" s="150">
        <v>0</v>
      </c>
      <c r="I51" s="150">
        <v>1</v>
      </c>
      <c r="J51" s="150">
        <v>5</v>
      </c>
      <c r="K51" s="150">
        <v>5</v>
      </c>
      <c r="L51" s="150">
        <v>1</v>
      </c>
      <c r="M51" s="150" t="s">
        <v>91</v>
      </c>
      <c r="N51" s="150" t="s">
        <v>91</v>
      </c>
      <c r="O51" s="150" t="s">
        <v>91</v>
      </c>
      <c r="P51" s="151">
        <v>0</v>
      </c>
      <c r="Q51" s="151">
        <v>0</v>
      </c>
      <c r="R51" s="151">
        <v>0</v>
      </c>
      <c r="S51" s="151">
        <v>0</v>
      </c>
      <c r="T51" s="75"/>
    </row>
    <row r="52" spans="2:20" s="72" customFormat="1" outlineLevel="1" x14ac:dyDescent="0.25">
      <c r="B52" s="102" t="s">
        <v>239</v>
      </c>
      <c r="C52" s="150">
        <v>0</v>
      </c>
      <c r="D52" s="150">
        <v>0</v>
      </c>
      <c r="E52" s="150">
        <v>1</v>
      </c>
      <c r="F52" s="150">
        <v>1</v>
      </c>
      <c r="G52" s="150">
        <v>1</v>
      </c>
      <c r="H52" s="150">
        <v>3</v>
      </c>
      <c r="I52" s="150">
        <v>1</v>
      </c>
      <c r="J52" s="150">
        <v>0</v>
      </c>
      <c r="K52" s="150">
        <v>0</v>
      </c>
      <c r="L52" s="150">
        <v>0</v>
      </c>
      <c r="M52" s="150" t="s">
        <v>91</v>
      </c>
      <c r="N52" s="150" t="s">
        <v>91</v>
      </c>
      <c r="O52" s="150" t="s">
        <v>91</v>
      </c>
      <c r="P52" s="151">
        <v>0</v>
      </c>
      <c r="Q52" s="151">
        <v>0</v>
      </c>
      <c r="R52" s="151">
        <v>0</v>
      </c>
      <c r="S52" s="151">
        <v>0</v>
      </c>
      <c r="T52" s="75"/>
    </row>
    <row r="53" spans="2:20" s="72" customFormat="1" outlineLevel="1" x14ac:dyDescent="0.25">
      <c r="B53" s="102" t="s">
        <v>80</v>
      </c>
      <c r="C53" s="150">
        <v>0</v>
      </c>
      <c r="D53" s="150">
        <v>0</v>
      </c>
      <c r="E53" s="150">
        <v>5</v>
      </c>
      <c r="F53" s="150">
        <v>9</v>
      </c>
      <c r="G53" s="150">
        <v>4</v>
      </c>
      <c r="H53" s="150">
        <v>2</v>
      </c>
      <c r="I53" s="150">
        <v>2</v>
      </c>
      <c r="J53" s="150">
        <v>0</v>
      </c>
      <c r="K53" s="150">
        <v>1</v>
      </c>
      <c r="L53" s="150">
        <v>1</v>
      </c>
      <c r="M53" s="150" t="s">
        <v>91</v>
      </c>
      <c r="N53" s="150" t="s">
        <v>91</v>
      </c>
      <c r="O53" s="150" t="s">
        <v>91</v>
      </c>
      <c r="P53" s="151">
        <v>0</v>
      </c>
      <c r="Q53" s="151">
        <v>0</v>
      </c>
      <c r="R53" s="151">
        <v>0</v>
      </c>
      <c r="S53" s="151">
        <v>0</v>
      </c>
      <c r="T53" s="75"/>
    </row>
    <row r="54" spans="2:20" s="72" customFormat="1" outlineLevel="1" x14ac:dyDescent="0.25">
      <c r="B54" s="102" t="s">
        <v>240</v>
      </c>
      <c r="C54" s="150">
        <v>0</v>
      </c>
      <c r="D54" s="150">
        <v>0</v>
      </c>
      <c r="E54" s="150">
        <v>0</v>
      </c>
      <c r="F54" s="150">
        <v>0</v>
      </c>
      <c r="G54" s="150">
        <v>0</v>
      </c>
      <c r="H54" s="150">
        <v>2</v>
      </c>
      <c r="I54" s="150">
        <v>2</v>
      </c>
      <c r="J54" s="150">
        <v>1</v>
      </c>
      <c r="K54" s="150">
        <v>0</v>
      </c>
      <c r="L54" s="150">
        <v>0</v>
      </c>
      <c r="M54" s="150" t="s">
        <v>91</v>
      </c>
      <c r="N54" s="150" t="s">
        <v>91</v>
      </c>
      <c r="O54" s="150" t="s">
        <v>91</v>
      </c>
      <c r="P54" s="151">
        <v>0</v>
      </c>
      <c r="Q54" s="151">
        <v>0</v>
      </c>
      <c r="R54" s="151">
        <v>0</v>
      </c>
      <c r="S54" s="151">
        <v>0</v>
      </c>
      <c r="T54" s="75"/>
    </row>
    <row r="55" spans="2:20" s="72" customFormat="1" outlineLevel="1" x14ac:dyDescent="0.25">
      <c r="B55" s="102" t="s">
        <v>81</v>
      </c>
      <c r="C55" s="150">
        <v>0</v>
      </c>
      <c r="D55" s="150">
        <v>0</v>
      </c>
      <c r="E55" s="150">
        <v>0</v>
      </c>
      <c r="F55" s="150">
        <v>0</v>
      </c>
      <c r="G55" s="150">
        <v>0</v>
      </c>
      <c r="H55" s="150">
        <v>0</v>
      </c>
      <c r="I55" s="150">
        <v>0</v>
      </c>
      <c r="J55" s="150">
        <v>3</v>
      </c>
      <c r="K55" s="150">
        <v>19</v>
      </c>
      <c r="L55" s="150">
        <v>1</v>
      </c>
      <c r="M55" s="150" t="s">
        <v>91</v>
      </c>
      <c r="N55" s="150" t="s">
        <v>91</v>
      </c>
      <c r="O55" s="150" t="s">
        <v>91</v>
      </c>
      <c r="P55" s="151">
        <v>0</v>
      </c>
      <c r="Q55" s="151">
        <v>0</v>
      </c>
      <c r="R55" s="151">
        <v>0</v>
      </c>
      <c r="S55" s="151">
        <v>0</v>
      </c>
      <c r="T55" s="75"/>
    </row>
    <row r="56" spans="2:20" s="72" customFormat="1" outlineLevel="1" x14ac:dyDescent="0.25">
      <c r="B56" s="102" t="s">
        <v>82</v>
      </c>
      <c r="C56" s="150">
        <v>0</v>
      </c>
      <c r="D56" s="150">
        <v>0</v>
      </c>
      <c r="E56" s="150">
        <v>0</v>
      </c>
      <c r="F56" s="150">
        <v>0</v>
      </c>
      <c r="G56" s="150">
        <v>0</v>
      </c>
      <c r="H56" s="150">
        <v>0</v>
      </c>
      <c r="I56" s="150">
        <v>0</v>
      </c>
      <c r="J56" s="150">
        <v>0</v>
      </c>
      <c r="K56" s="150">
        <v>46</v>
      </c>
      <c r="L56" s="150">
        <v>2</v>
      </c>
      <c r="M56" s="150" t="s">
        <v>91</v>
      </c>
      <c r="N56" s="150" t="s">
        <v>91</v>
      </c>
      <c r="O56" s="150" t="s">
        <v>91</v>
      </c>
      <c r="P56" s="151">
        <v>1</v>
      </c>
      <c r="Q56" s="151">
        <v>0</v>
      </c>
      <c r="R56" s="151">
        <v>0</v>
      </c>
      <c r="S56" s="151">
        <v>0</v>
      </c>
      <c r="T56" s="75"/>
    </row>
    <row r="57" spans="2:20" s="72" customFormat="1" outlineLevel="1" x14ac:dyDescent="0.25">
      <c r="B57" s="102" t="s">
        <v>83</v>
      </c>
      <c r="C57" s="150">
        <v>0</v>
      </c>
      <c r="D57" s="150">
        <v>0</v>
      </c>
      <c r="E57" s="150">
        <v>0</v>
      </c>
      <c r="F57" s="150">
        <v>0</v>
      </c>
      <c r="G57" s="150">
        <v>0</v>
      </c>
      <c r="H57" s="150">
        <v>0</v>
      </c>
      <c r="I57" s="150">
        <v>0</v>
      </c>
      <c r="J57" s="150">
        <v>0</v>
      </c>
      <c r="K57" s="150">
        <v>0</v>
      </c>
      <c r="L57" s="150">
        <v>24</v>
      </c>
      <c r="M57" s="150" t="s">
        <v>91</v>
      </c>
      <c r="N57" s="150" t="s">
        <v>91</v>
      </c>
      <c r="O57" s="150" t="s">
        <v>91</v>
      </c>
      <c r="P57" s="151">
        <v>0</v>
      </c>
      <c r="Q57" s="151">
        <v>0</v>
      </c>
      <c r="R57" s="151">
        <v>0</v>
      </c>
      <c r="S57" s="151">
        <v>0</v>
      </c>
      <c r="T57" s="75"/>
    </row>
    <row r="58" spans="2:20" s="72" customFormat="1" outlineLevel="1" x14ac:dyDescent="0.25">
      <c r="B58" s="102" t="s">
        <v>84</v>
      </c>
      <c r="C58" s="150" t="s">
        <v>91</v>
      </c>
      <c r="D58" s="150" t="s">
        <v>91</v>
      </c>
      <c r="E58" s="150" t="s">
        <v>91</v>
      </c>
      <c r="F58" s="150" t="s">
        <v>91</v>
      </c>
      <c r="G58" s="150" t="s">
        <v>91</v>
      </c>
      <c r="H58" s="150" t="s">
        <v>91</v>
      </c>
      <c r="I58" s="150" t="s">
        <v>91</v>
      </c>
      <c r="J58" s="150" t="s">
        <v>91</v>
      </c>
      <c r="K58" s="150" t="s">
        <v>91</v>
      </c>
      <c r="L58" s="150" t="s">
        <v>91</v>
      </c>
      <c r="M58" s="150">
        <v>33</v>
      </c>
      <c r="N58" s="150" t="s">
        <v>91</v>
      </c>
      <c r="O58" s="150" t="s">
        <v>91</v>
      </c>
      <c r="P58" s="151">
        <v>0</v>
      </c>
      <c r="Q58" s="151">
        <v>0</v>
      </c>
      <c r="R58" s="151">
        <v>0</v>
      </c>
      <c r="S58" s="151">
        <v>0</v>
      </c>
      <c r="T58" s="75"/>
    </row>
    <row r="59" spans="2:20" s="72" customFormat="1" outlineLevel="1" x14ac:dyDescent="0.25">
      <c r="B59" s="102" t="s">
        <v>85</v>
      </c>
      <c r="C59" s="150" t="s">
        <v>91</v>
      </c>
      <c r="D59" s="150" t="s">
        <v>91</v>
      </c>
      <c r="E59" s="150" t="s">
        <v>91</v>
      </c>
      <c r="F59" s="150" t="s">
        <v>91</v>
      </c>
      <c r="G59" s="150" t="s">
        <v>91</v>
      </c>
      <c r="H59" s="150" t="s">
        <v>91</v>
      </c>
      <c r="I59" s="150" t="s">
        <v>91</v>
      </c>
      <c r="J59" s="150" t="s">
        <v>91</v>
      </c>
      <c r="K59" s="150" t="s">
        <v>91</v>
      </c>
      <c r="L59" s="150" t="s">
        <v>91</v>
      </c>
      <c r="M59" s="150" t="s">
        <v>91</v>
      </c>
      <c r="N59" s="150" t="s">
        <v>91</v>
      </c>
      <c r="O59" s="150">
        <v>30</v>
      </c>
      <c r="P59" s="151">
        <v>0</v>
      </c>
      <c r="Q59" s="151">
        <v>0</v>
      </c>
      <c r="R59" s="151">
        <v>0</v>
      </c>
      <c r="S59" s="151">
        <v>0</v>
      </c>
      <c r="T59" s="75"/>
    </row>
    <row r="60" spans="2:20" s="72" customFormat="1" outlineLevel="1" x14ac:dyDescent="0.25">
      <c r="B60" s="102" t="s">
        <v>86</v>
      </c>
      <c r="C60" s="150" t="s">
        <v>91</v>
      </c>
      <c r="D60" s="150" t="s">
        <v>91</v>
      </c>
      <c r="E60" s="150" t="s">
        <v>91</v>
      </c>
      <c r="F60" s="150" t="s">
        <v>91</v>
      </c>
      <c r="G60" s="150" t="s">
        <v>91</v>
      </c>
      <c r="H60" s="150" t="s">
        <v>91</v>
      </c>
      <c r="I60" s="150" t="s">
        <v>91</v>
      </c>
      <c r="J60" s="150" t="s">
        <v>91</v>
      </c>
      <c r="K60" s="150" t="s">
        <v>91</v>
      </c>
      <c r="L60" s="150" t="s">
        <v>91</v>
      </c>
      <c r="M60" s="150" t="s">
        <v>91</v>
      </c>
      <c r="N60" s="150" t="s">
        <v>91</v>
      </c>
      <c r="O60" s="150">
        <v>24</v>
      </c>
      <c r="P60" s="151">
        <v>0</v>
      </c>
      <c r="Q60" s="151">
        <v>0</v>
      </c>
      <c r="R60" s="151">
        <v>0</v>
      </c>
      <c r="S60" s="151">
        <v>0</v>
      </c>
      <c r="T60" s="75"/>
    </row>
    <row r="61" spans="2:20" s="72" customFormat="1" outlineLevel="1" x14ac:dyDescent="0.25">
      <c r="B61" s="102" t="s">
        <v>87</v>
      </c>
      <c r="C61" s="150" t="s">
        <v>91</v>
      </c>
      <c r="D61" s="150" t="s">
        <v>91</v>
      </c>
      <c r="E61" s="150" t="s">
        <v>91</v>
      </c>
      <c r="F61" s="150" t="s">
        <v>91</v>
      </c>
      <c r="G61" s="150" t="s">
        <v>91</v>
      </c>
      <c r="H61" s="150" t="s">
        <v>91</v>
      </c>
      <c r="I61" s="150" t="s">
        <v>91</v>
      </c>
      <c r="J61" s="150" t="s">
        <v>91</v>
      </c>
      <c r="K61" s="150" t="s">
        <v>91</v>
      </c>
      <c r="L61" s="150" t="s">
        <v>91</v>
      </c>
      <c r="M61" s="150" t="s">
        <v>91</v>
      </c>
      <c r="N61" s="150" t="s">
        <v>91</v>
      </c>
      <c r="O61" s="150" t="s">
        <v>91</v>
      </c>
      <c r="P61" s="151">
        <v>18</v>
      </c>
      <c r="Q61" s="151">
        <v>0</v>
      </c>
      <c r="R61" s="151">
        <v>0</v>
      </c>
      <c r="S61" s="151">
        <v>0</v>
      </c>
      <c r="T61" s="75"/>
    </row>
    <row r="62" spans="2:20" s="72" customFormat="1" outlineLevel="1" x14ac:dyDescent="0.25">
      <c r="B62" s="102" t="s">
        <v>253</v>
      </c>
      <c r="C62" s="150" t="s">
        <v>91</v>
      </c>
      <c r="D62" s="150" t="s">
        <v>91</v>
      </c>
      <c r="E62" s="150" t="s">
        <v>91</v>
      </c>
      <c r="F62" s="150" t="s">
        <v>91</v>
      </c>
      <c r="G62" s="150" t="s">
        <v>91</v>
      </c>
      <c r="H62" s="150" t="s">
        <v>91</v>
      </c>
      <c r="I62" s="150" t="s">
        <v>91</v>
      </c>
      <c r="J62" s="150" t="s">
        <v>91</v>
      </c>
      <c r="K62" s="150" t="s">
        <v>91</v>
      </c>
      <c r="L62" s="150" t="s">
        <v>91</v>
      </c>
      <c r="M62" s="150" t="s">
        <v>91</v>
      </c>
      <c r="N62" s="150" t="s">
        <v>91</v>
      </c>
      <c r="O62" s="150" t="s">
        <v>91</v>
      </c>
      <c r="P62" s="151">
        <v>0</v>
      </c>
      <c r="Q62" s="151">
        <v>73</v>
      </c>
      <c r="R62" s="151">
        <v>0</v>
      </c>
      <c r="S62" s="151">
        <v>0</v>
      </c>
      <c r="T62" s="75"/>
    </row>
    <row r="63" spans="2:20" s="72" customFormat="1" outlineLevel="1" x14ac:dyDescent="0.25">
      <c r="B63" s="102" t="s">
        <v>88</v>
      </c>
      <c r="C63" s="150" t="s">
        <v>91</v>
      </c>
      <c r="D63" s="150" t="s">
        <v>91</v>
      </c>
      <c r="E63" s="150" t="s">
        <v>91</v>
      </c>
      <c r="F63" s="150" t="s">
        <v>91</v>
      </c>
      <c r="G63" s="150" t="s">
        <v>91</v>
      </c>
      <c r="H63" s="150" t="s">
        <v>91</v>
      </c>
      <c r="I63" s="150" t="s">
        <v>91</v>
      </c>
      <c r="J63" s="150" t="s">
        <v>91</v>
      </c>
      <c r="K63" s="150" t="s">
        <v>91</v>
      </c>
      <c r="L63" s="150" t="s">
        <v>91</v>
      </c>
      <c r="M63" s="150" t="s">
        <v>91</v>
      </c>
      <c r="N63" s="150" t="s">
        <v>91</v>
      </c>
      <c r="O63" s="150" t="s">
        <v>91</v>
      </c>
      <c r="P63" s="151">
        <v>34</v>
      </c>
      <c r="Q63" s="151">
        <v>0</v>
      </c>
      <c r="R63" s="151">
        <v>0</v>
      </c>
      <c r="S63" s="151">
        <v>0</v>
      </c>
      <c r="T63" s="75"/>
    </row>
    <row r="64" spans="2:20" s="72" customFormat="1" outlineLevel="1" x14ac:dyDescent="0.25">
      <c r="B64" s="102" t="s">
        <v>89</v>
      </c>
      <c r="C64" s="150" t="s">
        <v>91</v>
      </c>
      <c r="D64" s="150" t="s">
        <v>91</v>
      </c>
      <c r="E64" s="150" t="s">
        <v>91</v>
      </c>
      <c r="F64" s="150" t="s">
        <v>91</v>
      </c>
      <c r="G64" s="150" t="s">
        <v>91</v>
      </c>
      <c r="H64" s="150" t="s">
        <v>91</v>
      </c>
      <c r="I64" s="150" t="s">
        <v>91</v>
      </c>
      <c r="J64" s="150" t="s">
        <v>91</v>
      </c>
      <c r="K64" s="150" t="s">
        <v>91</v>
      </c>
      <c r="L64" s="150" t="s">
        <v>91</v>
      </c>
      <c r="M64" s="150" t="s">
        <v>91</v>
      </c>
      <c r="N64" s="150" t="s">
        <v>91</v>
      </c>
      <c r="O64" s="150" t="s">
        <v>91</v>
      </c>
      <c r="P64" s="151">
        <v>0</v>
      </c>
      <c r="Q64" s="151">
        <v>30</v>
      </c>
      <c r="R64" s="151">
        <v>30</v>
      </c>
      <c r="S64" s="151">
        <v>0</v>
      </c>
      <c r="T64" s="75"/>
    </row>
    <row r="65" spans="2:21" s="72" customFormat="1" outlineLevel="1" x14ac:dyDescent="0.25">
      <c r="B65" s="102" t="s">
        <v>271</v>
      </c>
      <c r="C65" s="150" t="s">
        <v>91</v>
      </c>
      <c r="D65" s="150" t="s">
        <v>91</v>
      </c>
      <c r="E65" s="150" t="s">
        <v>91</v>
      </c>
      <c r="F65" s="150" t="s">
        <v>91</v>
      </c>
      <c r="G65" s="150" t="s">
        <v>91</v>
      </c>
      <c r="H65" s="150" t="s">
        <v>91</v>
      </c>
      <c r="I65" s="150" t="s">
        <v>91</v>
      </c>
      <c r="J65" s="150" t="s">
        <v>91</v>
      </c>
      <c r="K65" s="150" t="s">
        <v>91</v>
      </c>
      <c r="L65" s="150" t="s">
        <v>91</v>
      </c>
      <c r="M65" s="150" t="s">
        <v>91</v>
      </c>
      <c r="N65" s="150" t="s">
        <v>91</v>
      </c>
      <c r="O65" s="150" t="s">
        <v>91</v>
      </c>
      <c r="P65" s="151">
        <v>0</v>
      </c>
      <c r="Q65" s="151">
        <v>0</v>
      </c>
      <c r="R65" s="151">
        <v>46</v>
      </c>
      <c r="S65" s="151">
        <v>0</v>
      </c>
      <c r="T65" s="75"/>
    </row>
    <row r="66" spans="2:21" s="72" customFormat="1" outlineLevel="1" x14ac:dyDescent="0.25">
      <c r="B66" s="102" t="s">
        <v>272</v>
      </c>
      <c r="C66" s="150" t="s">
        <v>91</v>
      </c>
      <c r="D66" s="150" t="s">
        <v>91</v>
      </c>
      <c r="E66" s="150" t="s">
        <v>91</v>
      </c>
      <c r="F66" s="150" t="s">
        <v>91</v>
      </c>
      <c r="G66" s="150" t="s">
        <v>91</v>
      </c>
      <c r="H66" s="150" t="s">
        <v>91</v>
      </c>
      <c r="I66" s="150" t="s">
        <v>91</v>
      </c>
      <c r="J66" s="150" t="s">
        <v>91</v>
      </c>
      <c r="K66" s="150" t="s">
        <v>91</v>
      </c>
      <c r="L66" s="150" t="s">
        <v>91</v>
      </c>
      <c r="M66" s="150" t="s">
        <v>91</v>
      </c>
      <c r="N66" s="150" t="s">
        <v>91</v>
      </c>
      <c r="O66" s="150" t="s">
        <v>91</v>
      </c>
      <c r="P66" s="151">
        <v>0</v>
      </c>
      <c r="Q66" s="151">
        <v>0</v>
      </c>
      <c r="R66" s="151">
        <v>55</v>
      </c>
      <c r="S66" s="151">
        <v>50</v>
      </c>
      <c r="T66" s="75"/>
    </row>
    <row r="67" spans="2:21" s="72" customFormat="1" outlineLevel="1" x14ac:dyDescent="0.25">
      <c r="B67" s="102" t="s">
        <v>273</v>
      </c>
      <c r="C67" s="150" t="s">
        <v>91</v>
      </c>
      <c r="D67" s="150" t="s">
        <v>91</v>
      </c>
      <c r="E67" s="150" t="s">
        <v>91</v>
      </c>
      <c r="F67" s="150" t="s">
        <v>91</v>
      </c>
      <c r="G67" s="150" t="s">
        <v>91</v>
      </c>
      <c r="H67" s="150" t="s">
        <v>91</v>
      </c>
      <c r="I67" s="150" t="s">
        <v>91</v>
      </c>
      <c r="J67" s="150" t="s">
        <v>91</v>
      </c>
      <c r="K67" s="150" t="s">
        <v>91</v>
      </c>
      <c r="L67" s="150" t="s">
        <v>91</v>
      </c>
      <c r="M67" s="150" t="s">
        <v>91</v>
      </c>
      <c r="N67" s="150" t="s">
        <v>91</v>
      </c>
      <c r="O67" s="150" t="s">
        <v>91</v>
      </c>
      <c r="P67" s="151">
        <v>0</v>
      </c>
      <c r="Q67" s="151">
        <v>0</v>
      </c>
      <c r="R67" s="151">
        <v>0</v>
      </c>
      <c r="S67" s="151">
        <v>55</v>
      </c>
      <c r="T67" s="75"/>
    </row>
    <row r="68" spans="2:21" s="72" customFormat="1" outlineLevel="1" x14ac:dyDescent="0.25">
      <c r="B68" s="102" t="s">
        <v>274</v>
      </c>
      <c r="C68" s="150" t="s">
        <v>91</v>
      </c>
      <c r="D68" s="150" t="s">
        <v>91</v>
      </c>
      <c r="E68" s="150" t="s">
        <v>91</v>
      </c>
      <c r="F68" s="150" t="s">
        <v>91</v>
      </c>
      <c r="G68" s="150" t="s">
        <v>91</v>
      </c>
      <c r="H68" s="150" t="s">
        <v>91</v>
      </c>
      <c r="I68" s="150" t="s">
        <v>91</v>
      </c>
      <c r="J68" s="150" t="s">
        <v>91</v>
      </c>
      <c r="K68" s="150" t="s">
        <v>91</v>
      </c>
      <c r="L68" s="150" t="s">
        <v>91</v>
      </c>
      <c r="M68" s="150" t="s">
        <v>91</v>
      </c>
      <c r="N68" s="150" t="s">
        <v>91</v>
      </c>
      <c r="O68" s="150" t="s">
        <v>91</v>
      </c>
      <c r="P68" s="151">
        <v>0</v>
      </c>
      <c r="Q68" s="151">
        <v>0</v>
      </c>
      <c r="R68" s="151">
        <v>0</v>
      </c>
      <c r="S68" s="151">
        <v>18</v>
      </c>
      <c r="T68" s="75"/>
    </row>
    <row r="69" spans="2:21" s="72" customFormat="1" outlineLevel="1" x14ac:dyDescent="0.25">
      <c r="B69" s="102" t="s">
        <v>90</v>
      </c>
      <c r="C69" s="150" t="s">
        <v>91</v>
      </c>
      <c r="D69" s="150" t="s">
        <v>91</v>
      </c>
      <c r="E69" s="150" t="s">
        <v>91</v>
      </c>
      <c r="F69" s="150" t="s">
        <v>91</v>
      </c>
      <c r="G69" s="150" t="s">
        <v>91</v>
      </c>
      <c r="H69" s="150" t="s">
        <v>91</v>
      </c>
      <c r="I69" s="150" t="s">
        <v>91</v>
      </c>
      <c r="J69" s="150" t="s">
        <v>91</v>
      </c>
      <c r="K69" s="150" t="s">
        <v>91</v>
      </c>
      <c r="L69" s="150" t="s">
        <v>91</v>
      </c>
      <c r="M69" s="150" t="s">
        <v>91</v>
      </c>
      <c r="N69" s="150" t="s">
        <v>91</v>
      </c>
      <c r="O69" s="150" t="s">
        <v>91</v>
      </c>
      <c r="P69" s="151">
        <v>0</v>
      </c>
      <c r="Q69" s="151">
        <v>0</v>
      </c>
      <c r="R69" s="151">
        <v>0</v>
      </c>
      <c r="S69" s="151">
        <v>50</v>
      </c>
      <c r="T69" s="75"/>
    </row>
    <row r="70" spans="2:21" s="72" customFormat="1" x14ac:dyDescent="0.25">
      <c r="B70" s="51" t="s">
        <v>106</v>
      </c>
      <c r="C70" s="127">
        <f t="shared" ref="C70:M70" si="7">C38*1000000/C44</f>
        <v>132486</v>
      </c>
      <c r="D70" s="127">
        <f t="shared" si="7"/>
        <v>107695.65217391304</v>
      </c>
      <c r="E70" s="127">
        <f t="shared" si="7"/>
        <v>88909.296296296292</v>
      </c>
      <c r="F70" s="127">
        <f t="shared" si="7"/>
        <v>69209.5</v>
      </c>
      <c r="G70" s="127">
        <f t="shared" si="7"/>
        <v>68814.818181818177</v>
      </c>
      <c r="H70" s="127">
        <f t="shared" si="7"/>
        <v>187525.75</v>
      </c>
      <c r="I70" s="127">
        <f t="shared" si="7"/>
        <v>218217.33333333334</v>
      </c>
      <c r="J70" s="127">
        <f t="shared" si="7"/>
        <v>134888.88888888888</v>
      </c>
      <c r="K70" s="127">
        <f t="shared" si="7"/>
        <v>185901.40845070421</v>
      </c>
      <c r="L70" s="127">
        <f t="shared" si="7"/>
        <v>239068.96551724139</v>
      </c>
      <c r="M70" s="127">
        <f t="shared" si="7"/>
        <v>221090.90909090909</v>
      </c>
      <c r="N70" s="127">
        <f>IFERROR(N38*1000000/N44,0)</f>
        <v>0</v>
      </c>
      <c r="O70" s="127">
        <f>IFERROR(O38*1000000/O44,0)</f>
        <v>269960.5</v>
      </c>
      <c r="P70" s="149">
        <f>+O70*1.02</f>
        <v>275359.71000000002</v>
      </c>
      <c r="Q70" s="149">
        <f t="shared" ref="Q70:S70" si="8">+P70*1.02</f>
        <v>280866.90420000005</v>
      </c>
      <c r="R70" s="149">
        <f t="shared" si="8"/>
        <v>286484.24228400004</v>
      </c>
      <c r="S70" s="149">
        <f t="shared" si="8"/>
        <v>292213.92712968006</v>
      </c>
      <c r="T70" s="75"/>
    </row>
    <row r="71" spans="2:21" s="72" customFormat="1" x14ac:dyDescent="0.25">
      <c r="B71" s="51" t="s">
        <v>241</v>
      </c>
      <c r="C71" s="127"/>
      <c r="D71" s="153">
        <f>+(D70-C70)/C70</f>
        <v>-0.18711673555007291</v>
      </c>
      <c r="E71" s="153">
        <f t="shared" ref="E71:S71" si="9">+(E70-D70)/D70</f>
        <v>-0.17443931577924313</v>
      </c>
      <c r="F71" s="153">
        <f t="shared" si="9"/>
        <v>-0.2215718391319326</v>
      </c>
      <c r="G71" s="153">
        <f t="shared" si="9"/>
        <v>-5.7027115956887926E-3</v>
      </c>
      <c r="H71" s="153">
        <f t="shared" si="9"/>
        <v>1.7250780421235914</v>
      </c>
      <c r="I71" s="153">
        <f t="shared" si="9"/>
        <v>0.1636659676515537</v>
      </c>
      <c r="J71" s="153">
        <f t="shared" si="9"/>
        <v>-0.38185987873455424</v>
      </c>
      <c r="K71" s="153">
        <f t="shared" si="9"/>
        <v>0.37818177599368868</v>
      </c>
      <c r="L71" s="153">
        <f t="shared" si="9"/>
        <v>0.28599867806077278</v>
      </c>
      <c r="M71" s="153">
        <f t="shared" si="9"/>
        <v>-7.5200293720414937E-2</v>
      </c>
      <c r="N71" s="153">
        <f>IFERROR((N70-M70)/M70,0)</f>
        <v>-1</v>
      </c>
      <c r="O71" s="153">
        <f>IFERROR((O70-N70)/N70,0)</f>
        <v>0</v>
      </c>
      <c r="P71" s="154">
        <f>+(P70-O70)/O70</f>
        <v>2.0000000000000077E-2</v>
      </c>
      <c r="Q71" s="154">
        <f t="shared" si="9"/>
        <v>2.0000000000000098E-2</v>
      </c>
      <c r="R71" s="154">
        <f t="shared" si="9"/>
        <v>1.9999999999999955E-2</v>
      </c>
      <c r="S71" s="154">
        <f t="shared" si="9"/>
        <v>2.0000000000000073E-2</v>
      </c>
      <c r="T71" s="75"/>
    </row>
    <row r="72" spans="2:21" s="72" customFormat="1" x14ac:dyDescent="0.25">
      <c r="B72" s="51"/>
      <c r="C72" s="88"/>
      <c r="D72" s="88"/>
      <c r="E72" s="88"/>
      <c r="F72" s="88"/>
      <c r="G72" s="88"/>
      <c r="H72" s="88"/>
      <c r="I72" s="88"/>
      <c r="J72" s="88"/>
      <c r="K72" s="88"/>
      <c r="L72" s="88"/>
      <c r="M72" s="88"/>
      <c r="N72" s="88"/>
      <c r="O72" s="88"/>
      <c r="P72" s="128"/>
      <c r="Q72" s="128"/>
      <c r="R72" s="128"/>
      <c r="S72" s="128"/>
      <c r="T72" s="75"/>
    </row>
    <row r="73" spans="2:21" s="72" customFormat="1" ht="22.5" x14ac:dyDescent="0.3">
      <c r="B73" s="18" t="s">
        <v>128</v>
      </c>
      <c r="C73" s="7">
        <v>2013</v>
      </c>
      <c r="D73" s="7">
        <v>2014</v>
      </c>
      <c r="E73" s="7">
        <v>2015</v>
      </c>
      <c r="F73" s="7">
        <v>2016</v>
      </c>
      <c r="G73" s="7">
        <v>2017</v>
      </c>
      <c r="H73" s="7">
        <v>2018</v>
      </c>
      <c r="I73" s="7">
        <v>2019</v>
      </c>
      <c r="J73" s="7">
        <v>2020</v>
      </c>
      <c r="K73" s="7">
        <v>2021</v>
      </c>
      <c r="L73" s="7">
        <v>2022</v>
      </c>
      <c r="M73" s="7">
        <v>2023</v>
      </c>
      <c r="N73" s="7">
        <v>2024</v>
      </c>
      <c r="O73" s="7">
        <v>2025</v>
      </c>
      <c r="P73" s="6" t="s">
        <v>61</v>
      </c>
      <c r="Q73" s="6" t="s">
        <v>78</v>
      </c>
      <c r="R73" s="6" t="s">
        <v>252</v>
      </c>
      <c r="S73" s="6" t="s">
        <v>270</v>
      </c>
      <c r="T73" s="75"/>
    </row>
    <row r="74" spans="2:21" s="72" customFormat="1" x14ac:dyDescent="0.25">
      <c r="B74" s="51" t="s">
        <v>107</v>
      </c>
      <c r="C74" s="212">
        <v>-14.677569</v>
      </c>
      <c r="D74" s="212">
        <v>-0.32750200000000002</v>
      </c>
      <c r="E74" s="212">
        <v>0.167799</v>
      </c>
      <c r="F74" s="212">
        <v>0.47899999999999998</v>
      </c>
      <c r="G74" s="212">
        <v>-0.379</v>
      </c>
      <c r="H74" s="212">
        <v>-0.70499999999999996</v>
      </c>
      <c r="I74" s="82">
        <v>-1.3680000000000001</v>
      </c>
      <c r="J74" s="82">
        <v>-1.393</v>
      </c>
      <c r="K74" s="82">
        <v>-0.51200000000000001</v>
      </c>
      <c r="L74" s="82">
        <v>0.20699999999999999</v>
      </c>
      <c r="M74" s="212">
        <v>0.14000000000000001</v>
      </c>
      <c r="N74" s="159">
        <v>0.39800000000000002</v>
      </c>
      <c r="O74" s="159">
        <v>2.742</v>
      </c>
      <c r="P74" s="93">
        <f>0.15*P38</f>
        <v>2.1891096944999999</v>
      </c>
      <c r="Q74" s="93">
        <f>0.15*Q38</f>
        <v>4.3393936698900006</v>
      </c>
      <c r="R74" s="93">
        <f>0.15*R38</f>
        <v>5.6294153608806008</v>
      </c>
      <c r="S74" s="93">
        <f>0.15*S38</f>
        <v>7.5829514090151973</v>
      </c>
      <c r="T74" s="75"/>
    </row>
    <row r="75" spans="2:21" s="72" customFormat="1" x14ac:dyDescent="0.25">
      <c r="B75" s="51" t="s">
        <v>126</v>
      </c>
      <c r="C75" s="212"/>
      <c r="D75" s="212"/>
      <c r="E75" s="212"/>
      <c r="F75" s="212"/>
      <c r="G75" s="212"/>
      <c r="H75" s="212"/>
      <c r="I75" s="82">
        <v>0.38500000000000001</v>
      </c>
      <c r="J75" s="82">
        <v>0.19700000000000001</v>
      </c>
      <c r="K75" s="82">
        <v>0.89100000000000001</v>
      </c>
      <c r="L75" s="82">
        <v>0.40400000000000003</v>
      </c>
      <c r="M75" s="212"/>
      <c r="N75" s="212">
        <v>1.1619999999999999</v>
      </c>
      <c r="O75" s="212">
        <v>1.8080000000000001</v>
      </c>
      <c r="P75" s="93">
        <f>0.5*P39</f>
        <v>0.30578309999999997</v>
      </c>
      <c r="Q75" s="93">
        <f>0.5*Q39</f>
        <v>0.32107225499999997</v>
      </c>
      <c r="R75" s="93">
        <f>0.5*R39</f>
        <v>0.33712586774999997</v>
      </c>
      <c r="S75" s="93">
        <f>0.5*S39</f>
        <v>0.35398216113749997</v>
      </c>
      <c r="T75" s="75"/>
    </row>
    <row r="76" spans="2:21" s="72" customFormat="1" x14ac:dyDescent="0.25">
      <c r="B76" s="51" t="s">
        <v>203</v>
      </c>
      <c r="C76" s="212"/>
      <c r="D76" s="212"/>
      <c r="E76" s="212"/>
      <c r="F76" s="212"/>
      <c r="G76" s="212"/>
      <c r="H76" s="82">
        <v>3.194</v>
      </c>
      <c r="I76" s="82">
        <v>2.262</v>
      </c>
      <c r="J76" s="82">
        <v>-0.81</v>
      </c>
      <c r="K76" s="82">
        <v>0.01</v>
      </c>
      <c r="L76" s="82">
        <v>1.302</v>
      </c>
      <c r="M76" s="212">
        <v>1.921</v>
      </c>
      <c r="N76" s="212"/>
      <c r="O76" s="212"/>
      <c r="P76" s="93">
        <f>(O75-1.1)+0.6*(P40-O40)+1</f>
        <v>1.2882468790000003</v>
      </c>
      <c r="Q76" s="93">
        <f>(P76-1)+0.6*(Q40-P40)+1</f>
        <v>1.5405594562450009</v>
      </c>
      <c r="R76" s="93">
        <f>(Q76-1)+0.6*(R40-Q40)+1</f>
        <v>1.8319804829629767</v>
      </c>
      <c r="S76" s="93">
        <f>(R76-1)+0.6*(S40-R40)+1</f>
        <v>1.9405583171111256</v>
      </c>
      <c r="T76" s="75"/>
      <c r="U76" s="158"/>
    </row>
    <row r="77" spans="2:21" s="72" customFormat="1" x14ac:dyDescent="0.25">
      <c r="B77" s="51" t="s">
        <v>108</v>
      </c>
      <c r="C77" s="82">
        <v>-33.765000000000001</v>
      </c>
      <c r="D77" s="82">
        <v>8.8640000000000008</v>
      </c>
      <c r="E77" s="82">
        <v>1.5880000000000001</v>
      </c>
      <c r="F77" s="82">
        <v>3.782</v>
      </c>
      <c r="G77" s="82">
        <v>1.6619999999999999</v>
      </c>
      <c r="H77" s="82">
        <v>-1.4910000000000001</v>
      </c>
      <c r="I77" s="82">
        <v>0.20699999999999999</v>
      </c>
      <c r="J77" s="82">
        <v>-1.861</v>
      </c>
      <c r="K77" s="82">
        <v>1.1759999999999999</v>
      </c>
      <c r="L77" s="82">
        <v>0.245</v>
      </c>
      <c r="M77" s="212">
        <v>1.165</v>
      </c>
      <c r="N77" s="159">
        <v>3.0910000000000002</v>
      </c>
      <c r="O77" s="159">
        <v>2.6930000000000001</v>
      </c>
      <c r="P77" s="93">
        <f>O77</f>
        <v>2.6930000000000001</v>
      </c>
      <c r="Q77" s="93">
        <f t="shared" ref="Q77:S77" si="10">P77</f>
        <v>2.6930000000000001</v>
      </c>
      <c r="R77" s="93">
        <f t="shared" si="10"/>
        <v>2.6930000000000001</v>
      </c>
      <c r="S77" s="93">
        <f t="shared" si="10"/>
        <v>2.6930000000000001</v>
      </c>
      <c r="T77" s="75"/>
    </row>
    <row r="78" spans="2:21" s="72" customFormat="1" x14ac:dyDescent="0.25">
      <c r="B78" s="51" t="s">
        <v>269</v>
      </c>
      <c r="C78" s="82"/>
      <c r="D78" s="82"/>
      <c r="E78" s="82"/>
      <c r="F78" s="82"/>
      <c r="G78" s="82"/>
      <c r="H78" s="82"/>
      <c r="I78" s="82"/>
      <c r="J78" s="82"/>
      <c r="K78" s="82"/>
      <c r="L78" s="82"/>
      <c r="M78" s="159"/>
      <c r="N78" s="159">
        <v>-0.79</v>
      </c>
      <c r="O78" s="159">
        <v>-1.02</v>
      </c>
      <c r="P78" s="93"/>
      <c r="Q78" s="93"/>
      <c r="R78" s="93"/>
      <c r="S78" s="93"/>
      <c r="T78" s="75"/>
    </row>
    <row r="79" spans="2:21" s="72" customFormat="1" x14ac:dyDescent="0.25">
      <c r="B79" s="19" t="s">
        <v>6</v>
      </c>
      <c r="C79" s="87">
        <f t="shared" ref="C79:H79" si="11">SUM(C74:C77)</f>
        <v>-48.442568999999999</v>
      </c>
      <c r="D79" s="87">
        <f t="shared" si="11"/>
        <v>8.5364979999999999</v>
      </c>
      <c r="E79" s="87">
        <f t="shared" si="11"/>
        <v>1.7557990000000001</v>
      </c>
      <c r="F79" s="87">
        <f t="shared" si="11"/>
        <v>4.2610000000000001</v>
      </c>
      <c r="G79" s="87">
        <f>SUM(G74:G77)</f>
        <v>1.2829999999999999</v>
      </c>
      <c r="H79" s="87">
        <f t="shared" si="11"/>
        <v>0.99799999999999978</v>
      </c>
      <c r="I79" s="87">
        <f t="shared" ref="I79:J79" si="12">SUM(I74:I77)</f>
        <v>1.486</v>
      </c>
      <c r="J79" s="87">
        <f t="shared" si="12"/>
        <v>-3.867</v>
      </c>
      <c r="K79" s="87">
        <f>SUM(K74:K77)-0.01</f>
        <v>1.5549999999999999</v>
      </c>
      <c r="L79" s="87">
        <f>SUM(L74:L77)</f>
        <v>2.1579999999999999</v>
      </c>
      <c r="M79" s="87">
        <f>SUM(M74:M77)</f>
        <v>3.226</v>
      </c>
      <c r="N79" s="87">
        <f>SUM(N74:N78)</f>
        <v>3.8609999999999998</v>
      </c>
      <c r="O79" s="87">
        <f>SUM(O74:O78)</f>
        <v>6.2230000000000008</v>
      </c>
      <c r="P79" s="92">
        <f t="shared" ref="P79:S79" si="13">SUM(P74:P77)</f>
        <v>6.4761396735000005</v>
      </c>
      <c r="Q79" s="92">
        <f t="shared" si="13"/>
        <v>8.8940253811350019</v>
      </c>
      <c r="R79" s="92">
        <f t="shared" si="13"/>
        <v>10.491521711593577</v>
      </c>
      <c r="S79" s="92">
        <f t="shared" si="13"/>
        <v>12.570491887263822</v>
      </c>
      <c r="T79" s="75"/>
    </row>
    <row r="80" spans="2:21" s="72" customFormat="1" x14ac:dyDescent="0.25">
      <c r="B80" s="19"/>
      <c r="C80" s="43"/>
      <c r="D80" s="43"/>
      <c r="E80" s="43"/>
      <c r="F80" s="43"/>
      <c r="G80" s="43"/>
      <c r="H80" s="43"/>
      <c r="I80" s="43"/>
      <c r="J80" s="43"/>
      <c r="K80" s="43"/>
      <c r="L80" s="43"/>
      <c r="M80" s="43"/>
      <c r="N80" s="43"/>
      <c r="O80" s="43"/>
      <c r="P80" s="43"/>
      <c r="Q80" s="43"/>
      <c r="R80" s="43"/>
      <c r="S80" s="43"/>
      <c r="T80" s="75"/>
    </row>
    <row r="81" spans="2:21" s="3" customFormat="1" x14ac:dyDescent="0.25"/>
    <row r="82" spans="2:21" x14ac:dyDescent="0.25">
      <c r="G82" s="43"/>
      <c r="H82" s="91"/>
    </row>
    <row r="83" spans="2:21" ht="30" x14ac:dyDescent="0.4">
      <c r="B83" s="26" t="s">
        <v>74</v>
      </c>
      <c r="C83" s="44"/>
      <c r="D83" s="44"/>
      <c r="E83" s="44"/>
      <c r="F83" s="89"/>
      <c r="G83" s="89"/>
      <c r="H83" s="89"/>
      <c r="I83" s="89"/>
      <c r="J83" s="44"/>
      <c r="K83" s="44"/>
      <c r="L83" s="89"/>
      <c r="M83" s="89"/>
      <c r="N83" s="89"/>
      <c r="O83" s="89"/>
      <c r="P83" s="49"/>
      <c r="Q83" s="49"/>
      <c r="R83" s="49"/>
      <c r="S83" s="49"/>
    </row>
    <row r="84" spans="2:21" x14ac:dyDescent="0.25">
      <c r="C84" s="100"/>
      <c r="D84" s="100"/>
      <c r="E84" s="100"/>
      <c r="F84" s="100"/>
      <c r="G84" s="100"/>
      <c r="H84" s="100"/>
      <c r="I84" s="100"/>
      <c r="P84" s="175"/>
      <c r="Q84" s="175"/>
      <c r="R84" s="175"/>
      <c r="S84" s="175"/>
    </row>
    <row r="85" spans="2:21" ht="22.5" x14ac:dyDescent="0.3">
      <c r="B85" s="18" t="s">
        <v>49</v>
      </c>
      <c r="C85" s="7">
        <v>2013</v>
      </c>
      <c r="D85" s="7">
        <v>2014</v>
      </c>
      <c r="E85" s="7">
        <v>2015</v>
      </c>
      <c r="F85" s="7">
        <v>2016</v>
      </c>
      <c r="G85" s="7">
        <v>2017</v>
      </c>
      <c r="H85" s="7">
        <v>2018</v>
      </c>
      <c r="I85" s="6">
        <v>2019</v>
      </c>
      <c r="J85" s="6">
        <v>2020</v>
      </c>
      <c r="K85" s="6">
        <v>2021</v>
      </c>
      <c r="L85" s="6">
        <v>2022</v>
      </c>
      <c r="M85" s="7">
        <v>2023</v>
      </c>
      <c r="N85" s="7">
        <v>2024</v>
      </c>
      <c r="O85" s="7">
        <v>2025</v>
      </c>
      <c r="P85" s="6" t="s">
        <v>61</v>
      </c>
      <c r="Q85" s="6" t="s">
        <v>78</v>
      </c>
      <c r="R85" s="6" t="s">
        <v>252</v>
      </c>
      <c r="S85" s="6" t="s">
        <v>270</v>
      </c>
    </row>
    <row r="86" spans="2:21" x14ac:dyDescent="0.25">
      <c r="C86" s="87"/>
      <c r="D86" s="87"/>
      <c r="E86" s="87"/>
      <c r="F86" s="87"/>
      <c r="G86" s="87"/>
      <c r="H86" s="87"/>
      <c r="I86" s="87"/>
      <c r="J86" s="87"/>
      <c r="K86" s="87"/>
      <c r="L86" s="87"/>
      <c r="M86" s="87"/>
      <c r="N86" s="87"/>
      <c r="O86" s="87"/>
      <c r="P86" s="92"/>
      <c r="Q86" s="92"/>
      <c r="R86" s="92"/>
      <c r="S86" s="92"/>
      <c r="T86" s="48"/>
    </row>
    <row r="87" spans="2:21" x14ac:dyDescent="0.25">
      <c r="B87" s="51" t="s">
        <v>109</v>
      </c>
      <c r="C87" s="82">
        <v>7.94916</v>
      </c>
      <c r="D87" s="82">
        <v>4.9539999999999997</v>
      </c>
      <c r="E87" s="82">
        <v>2.4005510000000001</v>
      </c>
      <c r="F87" s="82">
        <v>1.9378660000000001</v>
      </c>
      <c r="G87" s="82">
        <v>0.75696300000000005</v>
      </c>
      <c r="H87" s="82">
        <v>1.5002059999999999</v>
      </c>
      <c r="I87" s="82">
        <v>1.309304</v>
      </c>
      <c r="J87" s="82">
        <v>1.2193860000000001</v>
      </c>
      <c r="K87" s="82">
        <v>13.225807</v>
      </c>
      <c r="L87" s="82">
        <v>6.9331040000000002</v>
      </c>
      <c r="M87" s="82">
        <v>7.2966249999999997</v>
      </c>
      <c r="N87" s="82">
        <v>4.4999999999999998E-2</v>
      </c>
      <c r="O87" s="82">
        <v>14.577866999999999</v>
      </c>
      <c r="P87" s="93">
        <f>P38</f>
        <v>14.59406463</v>
      </c>
      <c r="Q87" s="93">
        <f>Q38</f>
        <v>28.929291132600007</v>
      </c>
      <c r="R87" s="93">
        <f>R38</f>
        <v>37.529435739204004</v>
      </c>
      <c r="S87" s="93">
        <f>S38</f>
        <v>50.55300939343465</v>
      </c>
      <c r="T87" s="48"/>
      <c r="U87" s="157"/>
    </row>
    <row r="88" spans="2:21" x14ac:dyDescent="0.25">
      <c r="B88" s="51" t="s">
        <v>110</v>
      </c>
      <c r="C88" s="82">
        <v>0.93573799999999996</v>
      </c>
      <c r="D88" s="82">
        <v>0.95482999999999996</v>
      </c>
      <c r="E88" s="82">
        <v>1.279623</v>
      </c>
      <c r="F88" s="82">
        <v>1.5702560000000001</v>
      </c>
      <c r="G88" s="82">
        <v>1.807097</v>
      </c>
      <c r="H88" s="82">
        <v>2.1808960000000002</v>
      </c>
      <c r="I88" s="82">
        <v>2.7889349999999999</v>
      </c>
      <c r="J88" s="82">
        <v>1.063231</v>
      </c>
      <c r="K88" s="82">
        <v>1.883761</v>
      </c>
      <c r="L88" s="82">
        <v>2.9397790000000001</v>
      </c>
      <c r="M88" s="82">
        <v>3.5428099999999998</v>
      </c>
      <c r="N88" s="82">
        <v>4.4262050000000004</v>
      </c>
      <c r="O88" s="82">
        <v>3.9950709999999998</v>
      </c>
      <c r="P88" s="93">
        <f>+SUM(P39:P40)</f>
        <v>3.3246046650000007</v>
      </c>
      <c r="Q88" s="93">
        <f t="shared" ref="Q88:S88" si="14">+SUM(Q39:Q40)</f>
        <v>3.7757039370750016</v>
      </c>
      <c r="R88" s="93">
        <f t="shared" si="14"/>
        <v>4.2935128737716273</v>
      </c>
      <c r="S88" s="93">
        <f t="shared" si="14"/>
        <v>4.5081885174602094</v>
      </c>
      <c r="T88" s="48"/>
      <c r="U88" s="157"/>
    </row>
    <row r="89" spans="2:21" x14ac:dyDescent="0.25">
      <c r="B89" s="51" t="s">
        <v>111</v>
      </c>
      <c r="C89" s="82">
        <v>3.6240030000000001</v>
      </c>
      <c r="D89" s="82">
        <v>11.138438000000001</v>
      </c>
      <c r="E89" s="82">
        <v>4.4048049999999996</v>
      </c>
      <c r="F89" s="82">
        <v>5.5763470000000002</v>
      </c>
      <c r="G89" s="82">
        <v>5.3303859999999998</v>
      </c>
      <c r="H89" s="82">
        <v>1.19539</v>
      </c>
      <c r="I89" s="82">
        <v>1.382517</v>
      </c>
      <c r="J89" s="82">
        <v>1.515752</v>
      </c>
      <c r="K89" s="82">
        <v>1.7065269999999999</v>
      </c>
      <c r="L89" s="82">
        <v>1.640128</v>
      </c>
      <c r="M89" s="82">
        <v>2.559771</v>
      </c>
      <c r="N89" s="82">
        <v>3.3352050000000002</v>
      </c>
      <c r="O89" s="82">
        <v>2.742334</v>
      </c>
      <c r="P89" s="93">
        <f>P41</f>
        <v>2.8246040200000002</v>
      </c>
      <c r="Q89" s="93">
        <f>Q41</f>
        <v>2.9093421406000002</v>
      </c>
      <c r="R89" s="93">
        <f>R41</f>
        <v>2.9966224048180004</v>
      </c>
      <c r="S89" s="93">
        <f>S41</f>
        <v>3.0865210769625406</v>
      </c>
      <c r="T89" s="48"/>
      <c r="U89" s="157"/>
    </row>
    <row r="90" spans="2:21" ht="18" x14ac:dyDescent="0.25">
      <c r="B90" s="20" t="s">
        <v>112</v>
      </c>
      <c r="C90" s="87">
        <f t="shared" ref="C90:J90" si="15">SUM(C87:C89)</f>
        <v>12.508901</v>
      </c>
      <c r="D90" s="87">
        <f t="shared" si="15"/>
        <v>17.047268000000003</v>
      </c>
      <c r="E90" s="87">
        <f t="shared" si="15"/>
        <v>8.0849790000000006</v>
      </c>
      <c r="F90" s="87">
        <f t="shared" si="15"/>
        <v>9.0844690000000003</v>
      </c>
      <c r="G90" s="87">
        <f t="shared" si="15"/>
        <v>7.8944460000000003</v>
      </c>
      <c r="H90" s="87">
        <f t="shared" si="15"/>
        <v>4.8764919999999998</v>
      </c>
      <c r="I90" s="87">
        <f t="shared" si="15"/>
        <v>5.4807559999999995</v>
      </c>
      <c r="J90" s="87">
        <f t="shared" si="15"/>
        <v>3.7983690000000001</v>
      </c>
      <c r="K90" s="87">
        <f>SUM(K87:K89)</f>
        <v>16.816095000000001</v>
      </c>
      <c r="L90" s="87">
        <f>SUM(L87:L89)</f>
        <v>11.513011000000001</v>
      </c>
      <c r="M90" s="87">
        <f>SUM(M87:M89)</f>
        <v>13.399206</v>
      </c>
      <c r="N90" s="87">
        <f>SUM(N87:N89)</f>
        <v>7.8064100000000005</v>
      </c>
      <c r="O90" s="87">
        <f>SUM(O87:O89)</f>
        <v>21.315272</v>
      </c>
      <c r="P90" s="92">
        <f t="shared" ref="P90:S90" si="16">P87+P88+P89</f>
        <v>20.743273315</v>
      </c>
      <c r="Q90" s="92">
        <f t="shared" si="16"/>
        <v>35.614337210275011</v>
      </c>
      <c r="R90" s="92">
        <f t="shared" si="16"/>
        <v>44.819571017793628</v>
      </c>
      <c r="S90" s="92">
        <f t="shared" si="16"/>
        <v>58.147718987857402</v>
      </c>
      <c r="T90" s="48"/>
    </row>
    <row r="91" spans="2:21" x14ac:dyDescent="0.25">
      <c r="B91" s="17"/>
      <c r="C91" s="99"/>
      <c r="D91" s="99"/>
      <c r="E91" s="99"/>
      <c r="F91" s="99"/>
      <c r="G91" s="99"/>
      <c r="H91" s="99"/>
      <c r="I91" s="99"/>
      <c r="J91" s="99"/>
      <c r="K91" s="99"/>
      <c r="L91" s="99"/>
      <c r="M91" s="99"/>
      <c r="N91" s="99"/>
      <c r="O91" s="99"/>
      <c r="P91" s="172"/>
      <c r="Q91" s="62"/>
      <c r="R91" s="62"/>
      <c r="S91" s="62"/>
    </row>
    <row r="92" spans="2:21" x14ac:dyDescent="0.25">
      <c r="B92" s="56" t="s">
        <v>113</v>
      </c>
      <c r="C92" s="82">
        <v>-17.441559999999999</v>
      </c>
      <c r="D92" s="82">
        <v>-5.503425</v>
      </c>
      <c r="E92" s="82">
        <v>1.68123</v>
      </c>
      <c r="F92" s="82">
        <v>-0.69609900000000002</v>
      </c>
      <c r="G92" s="82">
        <v>-1.5785119999999999</v>
      </c>
      <c r="H92" s="82">
        <v>-1.733303</v>
      </c>
      <c r="I92" s="82">
        <v>7.4926000000000006E-2</v>
      </c>
      <c r="J92" s="82">
        <v>-1.656909</v>
      </c>
      <c r="K92" s="82">
        <v>-0.409418</v>
      </c>
      <c r="L92" s="82">
        <f>-0.055208</f>
        <v>-5.5208E-2</v>
      </c>
      <c r="M92" s="82">
        <v>2.5500000000000002E-3</v>
      </c>
      <c r="N92" s="82">
        <v>0.21529300000000001</v>
      </c>
      <c r="O92" s="82">
        <v>0.27921099999999999</v>
      </c>
      <c r="P92" s="93"/>
      <c r="Q92" s="93"/>
      <c r="R92" s="93"/>
      <c r="S92" s="93"/>
    </row>
    <row r="93" spans="2:21" x14ac:dyDescent="0.25">
      <c r="B93" s="17" t="s">
        <v>114</v>
      </c>
      <c r="C93" s="82">
        <v>0</v>
      </c>
      <c r="D93" s="82">
        <v>0</v>
      </c>
      <c r="E93" s="82">
        <v>0</v>
      </c>
      <c r="F93" s="82">
        <v>0</v>
      </c>
      <c r="G93" s="82">
        <v>0</v>
      </c>
      <c r="H93" s="82">
        <v>3.3280639999999999</v>
      </c>
      <c r="I93" s="82">
        <v>2.4878019999999998</v>
      </c>
      <c r="J93" s="82">
        <v>-8.5941000000000004E-2</v>
      </c>
      <c r="K93" s="82">
        <v>0.78618299999999997</v>
      </c>
      <c r="L93" s="82">
        <v>0.88415699999999997</v>
      </c>
      <c r="M93" s="82">
        <v>1.3481190000000001</v>
      </c>
      <c r="N93" s="82">
        <v>1.0167619999999999</v>
      </c>
      <c r="O93" s="82">
        <v>1.425527</v>
      </c>
      <c r="P93" s="173">
        <f>P146-O146</f>
        <v>3.6364776077319618</v>
      </c>
      <c r="Q93" s="104">
        <f t="shared" ref="Q93:S93" si="17">Q146-P146</f>
        <v>2.3329371303865969</v>
      </c>
      <c r="R93" s="104">
        <f t="shared" si="17"/>
        <v>2.4495839869059282</v>
      </c>
      <c r="S93" s="104">
        <f t="shared" si="17"/>
        <v>2.5720631862512278</v>
      </c>
    </row>
    <row r="94" spans="2:21" x14ac:dyDescent="0.25">
      <c r="B94" s="17" t="s">
        <v>115</v>
      </c>
      <c r="C94" s="82">
        <v>-4.3929879999999999</v>
      </c>
      <c r="D94" s="82">
        <v>3.6867999999999998E-2</v>
      </c>
      <c r="E94" s="82">
        <v>0.699959</v>
      </c>
      <c r="F94" s="82">
        <v>1.10097</v>
      </c>
      <c r="G94" s="82">
        <v>0.51611700000000005</v>
      </c>
      <c r="H94" s="82">
        <v>9.2827000000000007E-2</v>
      </c>
      <c r="I94" s="82">
        <v>-8.2199999999999999E-3</v>
      </c>
      <c r="J94" s="82">
        <v>7.1814000000000003E-2</v>
      </c>
      <c r="K94" s="82">
        <v>0.32029200000000002</v>
      </c>
      <c r="L94" s="82">
        <v>0.214391</v>
      </c>
      <c r="M94" s="82">
        <v>-3.0273999999999999E-2</v>
      </c>
      <c r="N94" s="82">
        <v>7.4339999999999996E-3</v>
      </c>
      <c r="O94" s="82">
        <v>-1.0874999999999999E-2</v>
      </c>
      <c r="P94" s="93"/>
      <c r="Q94" s="93"/>
      <c r="R94" s="93"/>
      <c r="S94" s="93"/>
    </row>
    <row r="95" spans="2:21" x14ac:dyDescent="0.25">
      <c r="B95" s="17" t="s">
        <v>116</v>
      </c>
      <c r="C95" s="82">
        <v>0.17510200000000001</v>
      </c>
      <c r="D95" s="82">
        <v>0.23072799999999999</v>
      </c>
      <c r="E95" s="82">
        <v>0.12088500000000001</v>
      </c>
      <c r="F95" s="82">
        <v>4.3791999999999998E-2</v>
      </c>
      <c r="G95" s="82">
        <v>3.3896000000000003E-2</v>
      </c>
      <c r="H95" s="82">
        <v>0.108913</v>
      </c>
      <c r="I95" s="82">
        <v>7.2569999999999996E-2</v>
      </c>
      <c r="J95" s="82">
        <v>0.15402299999999999</v>
      </c>
      <c r="K95" s="82">
        <v>9.6870999999999999E-2</v>
      </c>
      <c r="L95" s="82">
        <v>0.126164</v>
      </c>
      <c r="M95" s="82">
        <v>9.0909000000000004E-2</v>
      </c>
      <c r="N95" s="82">
        <v>8.6424000000000001E-2</v>
      </c>
      <c r="O95" s="82">
        <v>6.8067000000000003E-2</v>
      </c>
      <c r="P95" s="93"/>
      <c r="Q95" s="93"/>
      <c r="R95" s="93"/>
      <c r="S95" s="93"/>
    </row>
    <row r="96" spans="2:21" x14ac:dyDescent="0.25">
      <c r="B96" s="17" t="s">
        <v>117</v>
      </c>
      <c r="C96" s="82">
        <v>-10.445351</v>
      </c>
      <c r="D96" s="82">
        <v>-6.010688</v>
      </c>
      <c r="E96" s="82">
        <v>-1.88253</v>
      </c>
      <c r="F96" s="82">
        <v>-2.8410060000000001</v>
      </c>
      <c r="G96" s="82">
        <v>-0.11559999999999999</v>
      </c>
      <c r="H96" s="82">
        <v>0.69886199999999998</v>
      </c>
      <c r="I96" s="82">
        <v>1.7715110000000001</v>
      </c>
      <c r="J96" s="82">
        <v>5.3992050000000003</v>
      </c>
      <c r="K96" s="82">
        <v>-8.454879</v>
      </c>
      <c r="L96" s="82">
        <v>-0.80015599999999998</v>
      </c>
      <c r="M96" s="82">
        <v>-2.1942460000000001</v>
      </c>
      <c r="N96" s="82">
        <v>6.0402740000000001</v>
      </c>
      <c r="O96" s="82">
        <v>1.100282</v>
      </c>
      <c r="P96" s="93"/>
      <c r="Q96" s="93"/>
      <c r="R96" s="93"/>
      <c r="S96" s="93"/>
    </row>
    <row r="97" spans="2:23" x14ac:dyDescent="0.25">
      <c r="B97" s="17" t="s">
        <v>118</v>
      </c>
      <c r="C97" s="82">
        <v>-4.9857839999999998</v>
      </c>
      <c r="D97" s="82">
        <v>1.2946409999999999</v>
      </c>
      <c r="E97" s="82">
        <v>-0.55200800000000005</v>
      </c>
      <c r="F97" s="82">
        <v>0.96623300000000001</v>
      </c>
      <c r="G97" s="82">
        <v>-0.65134499999999995</v>
      </c>
      <c r="H97" s="82">
        <v>-1.8278190000000001</v>
      </c>
      <c r="I97" s="82">
        <v>-3.1381950000000001</v>
      </c>
      <c r="J97" s="82">
        <v>-6.7836999999999996</v>
      </c>
      <c r="K97" s="82">
        <v>-3.6692390000000001</v>
      </c>
      <c r="L97" s="82">
        <v>-4.7455769999999999</v>
      </c>
      <c r="M97" s="82">
        <v>-3.590986</v>
      </c>
      <c r="N97" s="82">
        <v>-6.0372159999999999</v>
      </c>
      <c r="O97" s="82">
        <v>-12.014635</v>
      </c>
      <c r="P97" s="93">
        <f>O97/O38*P38</f>
        <v>-12.027984594444444</v>
      </c>
      <c r="Q97" s="93">
        <f>P97/P38*Q38</f>
        <v>-23.842642669666674</v>
      </c>
      <c r="R97" s="93">
        <f>Q97/Q38*R38</f>
        <v>-30.930620519620007</v>
      </c>
      <c r="S97" s="93">
        <f>R97/R38*S38</f>
        <v>-41.66425417474921</v>
      </c>
    </row>
    <row r="98" spans="2:23" x14ac:dyDescent="0.25">
      <c r="B98" s="17" t="s">
        <v>119</v>
      </c>
      <c r="C98" s="82">
        <v>-1.468804</v>
      </c>
      <c r="D98" s="82">
        <v>-1.3119609999999999</v>
      </c>
      <c r="E98" s="82">
        <v>-1.514151</v>
      </c>
      <c r="F98" s="82">
        <v>-1.5019480000000001</v>
      </c>
      <c r="G98" s="82">
        <v>-1.548908</v>
      </c>
      <c r="H98" s="82">
        <v>-1.6827669999999999</v>
      </c>
      <c r="I98" s="82">
        <v>-2.1662240000000001</v>
      </c>
      <c r="J98" s="82">
        <v>-1.729255</v>
      </c>
      <c r="K98" s="82">
        <v>-1.9766410000000001</v>
      </c>
      <c r="L98" s="82">
        <v>-2.232783</v>
      </c>
      <c r="M98" s="82">
        <v>-2.3583609999999999</v>
      </c>
      <c r="N98" s="82">
        <v>-2.6246360000000002</v>
      </c>
      <c r="O98" s="82">
        <v>-2.8889740000000002</v>
      </c>
      <c r="P98" s="93">
        <f>O98/O90*P90</f>
        <v>-2.8114479271917721</v>
      </c>
      <c r="Q98" s="93">
        <f t="shared" ref="Q98:S98" si="18">P98/P90*Q90</f>
        <v>-4.8270035788291628</v>
      </c>
      <c r="R98" s="93">
        <f t="shared" si="18"/>
        <v>-6.0746386610294882</v>
      </c>
      <c r="S98" s="93">
        <f t="shared" si="18"/>
        <v>-7.8810745795421413</v>
      </c>
    </row>
    <row r="99" spans="2:23" x14ac:dyDescent="0.25">
      <c r="B99" s="17" t="s">
        <v>120</v>
      </c>
      <c r="C99" s="82">
        <v>-1.4445939999999999</v>
      </c>
      <c r="D99" s="82">
        <v>-1.691311</v>
      </c>
      <c r="E99" s="82">
        <v>-1.3771150000000001</v>
      </c>
      <c r="F99" s="82">
        <v>-1.6322680000000001</v>
      </c>
      <c r="G99" s="82">
        <v>-1.550054</v>
      </c>
      <c r="H99" s="82">
        <v>-2.3401010000000002</v>
      </c>
      <c r="I99" s="82">
        <v>-2.400741</v>
      </c>
      <c r="J99" s="82">
        <v>-1.502386</v>
      </c>
      <c r="K99" s="82">
        <v>-2.146039</v>
      </c>
      <c r="L99" s="82">
        <v>-1.885799</v>
      </c>
      <c r="M99" s="82">
        <v>-2.2092879999999999</v>
      </c>
      <c r="N99" s="82">
        <v>-1.770759</v>
      </c>
      <c r="O99" s="82">
        <v>-2.2620290000000001</v>
      </c>
      <c r="P99" s="93">
        <f>-(+P90-P104+SUM(P92:P98,P101))</f>
        <v>-4.139061485327705</v>
      </c>
      <c r="Q99" s="93">
        <f t="shared" ref="Q99:S99" si="19">-(+Q90-Q104+SUM(Q92:Q98,Q101))</f>
        <v>-0.15494499141736284</v>
      </c>
      <c r="R99" s="93">
        <f t="shared" si="19"/>
        <v>0.33963675063758814</v>
      </c>
      <c r="S99" s="93">
        <f t="shared" si="19"/>
        <v>1.3855701311953155</v>
      </c>
    </row>
    <row r="100" spans="2:23" x14ac:dyDescent="0.25">
      <c r="B100" s="17" t="s">
        <v>121</v>
      </c>
      <c r="C100" s="82">
        <v>0</v>
      </c>
      <c r="D100" s="82">
        <v>0</v>
      </c>
      <c r="E100" s="82">
        <v>0</v>
      </c>
      <c r="F100" s="82">
        <v>1.6683760000000001</v>
      </c>
      <c r="G100" s="82">
        <v>7.2564000000000003E-2</v>
      </c>
      <c r="H100" s="82">
        <v>3.0731000000000001E-2</v>
      </c>
      <c r="I100" s="82">
        <v>0.2205</v>
      </c>
      <c r="J100" s="82" t="s">
        <v>91</v>
      </c>
      <c r="K100" s="82">
        <v>0</v>
      </c>
      <c r="L100" s="82">
        <v>0.13014000000000001</v>
      </c>
      <c r="M100" s="82">
        <v>0</v>
      </c>
      <c r="N100" s="82">
        <v>2.8427000000000001E-2</v>
      </c>
      <c r="O100" s="82">
        <v>4.9417000000000003E-2</v>
      </c>
      <c r="P100" s="93"/>
      <c r="Q100" s="93"/>
      <c r="R100" s="93"/>
      <c r="S100" s="93"/>
    </row>
    <row r="101" spans="2:23" x14ac:dyDescent="0.25">
      <c r="B101" s="17" t="s">
        <v>122</v>
      </c>
      <c r="C101" s="82">
        <v>-0.34194799999999997</v>
      </c>
      <c r="D101" s="82">
        <v>-0.29291800000000001</v>
      </c>
      <c r="E101" s="82">
        <v>-0.29513600000000001</v>
      </c>
      <c r="F101" s="82">
        <v>-0.31725500000000001</v>
      </c>
      <c r="G101" s="82">
        <v>-0.310838</v>
      </c>
      <c r="H101" s="82">
        <v>-0.13178000000000001</v>
      </c>
      <c r="I101" s="82">
        <v>-0.315442</v>
      </c>
      <c r="J101" s="82">
        <v>-0.27249400000000001</v>
      </c>
      <c r="K101" s="82">
        <v>-0.28511199999999998</v>
      </c>
      <c r="L101" s="82">
        <v>-0.28021400000000002</v>
      </c>
      <c r="M101" s="82">
        <v>-0.29962</v>
      </c>
      <c r="N101" s="82">
        <v>-0.31373600000000001</v>
      </c>
      <c r="O101" s="82">
        <v>-0.31098300000000001</v>
      </c>
      <c r="P101" s="93">
        <v>-0.3</v>
      </c>
      <c r="Q101" s="93">
        <f>+P101</f>
        <v>-0.3</v>
      </c>
      <c r="R101" s="93">
        <f t="shared" ref="R101:S101" si="20">+Q101</f>
        <v>-0.3</v>
      </c>
      <c r="S101" s="93">
        <f t="shared" si="20"/>
        <v>-0.3</v>
      </c>
    </row>
    <row r="102" spans="2:23" x14ac:dyDescent="0.25">
      <c r="B102" s="17" t="s">
        <v>123</v>
      </c>
      <c r="C102" s="82">
        <v>-18.779154999999999</v>
      </c>
      <c r="D102" s="82">
        <v>6.5609859999999998</v>
      </c>
      <c r="E102" s="82">
        <v>-2.827226</v>
      </c>
      <c r="F102" s="82">
        <v>0.47922700000000001</v>
      </c>
      <c r="G102" s="82">
        <v>-0.71615700000000004</v>
      </c>
      <c r="H102" s="82">
        <v>0.15989600000000001</v>
      </c>
      <c r="I102" s="82">
        <v>3.8300000000000001E-3</v>
      </c>
      <c r="J102" s="82">
        <v>-0.40151799999999999</v>
      </c>
      <c r="K102" s="82">
        <v>0.98464399999999996</v>
      </c>
      <c r="L102" s="82">
        <v>-0.10311099999999999</v>
      </c>
      <c r="M102" s="82">
        <v>0.26475700000000002</v>
      </c>
      <c r="N102" s="82">
        <v>1.0213570000000001</v>
      </c>
      <c r="O102" s="82">
        <v>1.0593170000000001</v>
      </c>
      <c r="P102" s="93"/>
      <c r="Q102" s="93"/>
      <c r="R102" s="93"/>
      <c r="S102" s="93"/>
    </row>
    <row r="103" spans="2:23" x14ac:dyDescent="0.25">
      <c r="B103" s="17"/>
      <c r="C103" s="86"/>
      <c r="D103" s="86"/>
      <c r="E103" s="86"/>
      <c r="F103" s="86"/>
      <c r="G103" s="86"/>
      <c r="H103" s="86"/>
      <c r="I103" s="86"/>
      <c r="J103" s="86"/>
      <c r="K103" s="86"/>
      <c r="L103" s="86"/>
      <c r="M103" s="86"/>
      <c r="N103" s="86"/>
      <c r="O103" s="86"/>
      <c r="P103" s="78"/>
      <c r="Q103" s="78"/>
      <c r="R103" s="78"/>
      <c r="S103" s="78"/>
    </row>
    <row r="104" spans="2:23" ht="18" x14ac:dyDescent="0.25">
      <c r="B104" s="20" t="s">
        <v>1</v>
      </c>
      <c r="C104" s="87">
        <f t="shared" ref="C104:L104" si="21">C107-C101-C93-C102</f>
        <v>-27.495077999999996</v>
      </c>
      <c r="D104" s="87">
        <f t="shared" si="21"/>
        <v>4.0921200000000013</v>
      </c>
      <c r="E104" s="87">
        <f t="shared" si="21"/>
        <v>5.2612489999999976</v>
      </c>
      <c r="F104" s="87">
        <f t="shared" si="21"/>
        <v>6.1925190000000008</v>
      </c>
      <c r="G104" s="87">
        <f t="shared" si="21"/>
        <v>3.072604000000001</v>
      </c>
      <c r="H104" s="87">
        <f t="shared" si="21"/>
        <v>-1.7761650000000009</v>
      </c>
      <c r="I104" s="87">
        <f t="shared" si="21"/>
        <v>-9.311699999999834E-2</v>
      </c>
      <c r="J104" s="87">
        <f t="shared" si="21"/>
        <v>-2.2488389999999985</v>
      </c>
      <c r="K104" s="87">
        <f t="shared" si="21"/>
        <v>0.57704200000000172</v>
      </c>
      <c r="L104" s="87">
        <f t="shared" si="21"/>
        <v>2.2641829999999987</v>
      </c>
      <c r="M104" s="87">
        <f>M107-M101-M93-M102</f>
        <v>3.1095100000000002</v>
      </c>
      <c r="N104" s="87">
        <f>N107-N101-N93-N102</f>
        <v>3.751650999999999</v>
      </c>
      <c r="O104" s="87">
        <f>O107-O101-O93-O102</f>
        <v>5.6357360000000005</v>
      </c>
      <c r="P104" s="92">
        <f>P107-P101-P93-P102</f>
        <v>5.1012569157680403</v>
      </c>
      <c r="Q104" s="92">
        <f t="shared" ref="Q104:S104" si="22">Q107-Q101-Q93-Q102</f>
        <v>8.8226831007484066</v>
      </c>
      <c r="R104" s="92">
        <f t="shared" si="22"/>
        <v>10.303532574687651</v>
      </c>
      <c r="S104" s="92">
        <f t="shared" si="22"/>
        <v>12.260023551012596</v>
      </c>
    </row>
    <row r="105" spans="2:23" x14ac:dyDescent="0.25">
      <c r="B105" s="17" t="s">
        <v>204</v>
      </c>
      <c r="C105" s="86">
        <f t="shared" ref="C105:S105" si="23">+C104/C90</f>
        <v>-2.1980410589227621</v>
      </c>
      <c r="D105" s="86">
        <f t="shared" si="23"/>
        <v>0.24004550171910249</v>
      </c>
      <c r="E105" s="86">
        <f t="shared" si="23"/>
        <v>0.65074368158531981</v>
      </c>
      <c r="F105" s="86">
        <f t="shared" si="23"/>
        <v>0.68165998474979661</v>
      </c>
      <c r="G105" s="86">
        <f t="shared" si="23"/>
        <v>0.38921084519420374</v>
      </c>
      <c r="H105" s="86">
        <f t="shared" si="23"/>
        <v>-0.36423006538306657</v>
      </c>
      <c r="I105" s="86">
        <f t="shared" si="23"/>
        <v>-1.698980943504844E-2</v>
      </c>
      <c r="J105" s="86">
        <f t="shared" si="23"/>
        <v>-0.59205385258778132</v>
      </c>
      <c r="K105" s="86">
        <f t="shared" si="23"/>
        <v>3.4314863230732323E-2</v>
      </c>
      <c r="L105" s="86">
        <f t="shared" si="23"/>
        <v>0.19666297548052361</v>
      </c>
      <c r="M105" s="86">
        <f>+M104/M90</f>
        <v>0.2320667358946493</v>
      </c>
      <c r="N105" s="86">
        <f>+N104/N90</f>
        <v>0.480585954363145</v>
      </c>
      <c r="O105" s="86">
        <f>+O104/O90</f>
        <v>0.26439897177948285</v>
      </c>
      <c r="P105" s="155">
        <f t="shared" si="23"/>
        <v>0.24592342964883893</v>
      </c>
      <c r="Q105" s="155">
        <f t="shared" si="23"/>
        <v>0.24772840917008543</v>
      </c>
      <c r="R105" s="155">
        <f t="shared" si="23"/>
        <v>0.22988913862198926</v>
      </c>
      <c r="S105" s="155">
        <f t="shared" si="23"/>
        <v>0.21084272546568464</v>
      </c>
    </row>
    <row r="106" spans="2:23" x14ac:dyDescent="0.25">
      <c r="B106" s="17"/>
      <c r="C106" s="64"/>
      <c r="D106" s="64"/>
      <c r="E106" s="64"/>
      <c r="F106" s="64"/>
      <c r="G106" s="64"/>
      <c r="H106" s="64"/>
      <c r="I106" s="64"/>
      <c r="J106" s="64"/>
      <c r="K106" s="86"/>
      <c r="L106" s="86"/>
      <c r="M106" s="86"/>
      <c r="N106" s="86"/>
      <c r="O106" s="86"/>
      <c r="P106" s="78"/>
      <c r="Q106" s="78"/>
      <c r="R106" s="78"/>
      <c r="S106" s="78"/>
    </row>
    <row r="107" spans="2:23" ht="18" x14ac:dyDescent="0.25">
      <c r="B107" s="20" t="s">
        <v>2</v>
      </c>
      <c r="C107" s="87">
        <f t="shared" ref="C107:L107" si="24">SUM(C90:C102)</f>
        <v>-46.616180999999997</v>
      </c>
      <c r="D107" s="87">
        <f t="shared" si="24"/>
        <v>10.360188000000001</v>
      </c>
      <c r="E107" s="87">
        <f t="shared" si="24"/>
        <v>2.1388869999999973</v>
      </c>
      <c r="F107" s="87">
        <f t="shared" si="24"/>
        <v>6.3544910000000003</v>
      </c>
      <c r="G107" s="87">
        <f t="shared" si="24"/>
        <v>2.0456090000000011</v>
      </c>
      <c r="H107" s="87">
        <f t="shared" si="24"/>
        <v>1.5800149999999991</v>
      </c>
      <c r="I107" s="87">
        <f t="shared" si="24"/>
        <v>2.0830730000000015</v>
      </c>
      <c r="J107" s="87">
        <f t="shared" si="24"/>
        <v>-3.0087919999999984</v>
      </c>
      <c r="K107" s="87">
        <f t="shared" si="24"/>
        <v>2.0627570000000017</v>
      </c>
      <c r="L107" s="87">
        <f t="shared" si="24"/>
        <v>2.7650149999999987</v>
      </c>
      <c r="M107" s="87">
        <f t="shared" ref="M107:O107" si="25">SUM(M90:M102)</f>
        <v>4.4227660000000002</v>
      </c>
      <c r="N107" s="87">
        <f t="shared" si="25"/>
        <v>5.4760339999999985</v>
      </c>
      <c r="O107" s="87">
        <f t="shared" si="25"/>
        <v>7.8095970000000001</v>
      </c>
      <c r="P107" s="92">
        <f>P114-P112-P111-P110+P95</f>
        <v>8.4377345235000014</v>
      </c>
      <c r="Q107" s="92">
        <f t="shared" ref="Q107:S107" si="26">Q114-Q112-Q111-Q110</f>
        <v>10.855620231135003</v>
      </c>
      <c r="R107" s="92">
        <f t="shared" si="26"/>
        <v>12.453116561593578</v>
      </c>
      <c r="S107" s="92">
        <f t="shared" si="26"/>
        <v>14.532086737263823</v>
      </c>
      <c r="T107" s="96"/>
      <c r="U107" s="96"/>
      <c r="V107" s="96"/>
      <c r="W107" s="96"/>
    </row>
    <row r="108" spans="2:23" x14ac:dyDescent="0.25">
      <c r="B108" s="17" t="s">
        <v>3</v>
      </c>
      <c r="C108" s="47">
        <f t="shared" ref="C108:S108" si="27">IFERROR(C107/C90,0)</f>
        <v>-3.7266408136094449</v>
      </c>
      <c r="D108" s="47">
        <f t="shared" si="27"/>
        <v>0.60773303968706305</v>
      </c>
      <c r="E108" s="47">
        <f t="shared" si="27"/>
        <v>0.26455071806618141</v>
      </c>
      <c r="F108" s="47">
        <f t="shared" si="27"/>
        <v>0.69948953538175984</v>
      </c>
      <c r="G108" s="47">
        <f t="shared" si="27"/>
        <v>0.25912001931484502</v>
      </c>
      <c r="H108" s="47">
        <f t="shared" si="27"/>
        <v>0.32400647842752517</v>
      </c>
      <c r="I108" s="47">
        <f t="shared" si="27"/>
        <v>0.38007037715234937</v>
      </c>
      <c r="J108" s="47">
        <f t="shared" si="27"/>
        <v>-0.7921273578212118</v>
      </c>
      <c r="K108" s="47">
        <f t="shared" si="27"/>
        <v>0.12266563670102967</v>
      </c>
      <c r="L108" s="47">
        <f t="shared" si="27"/>
        <v>0.24016436707999311</v>
      </c>
      <c r="M108" s="47">
        <f t="shared" si="27"/>
        <v>0.33007672245653963</v>
      </c>
      <c r="N108" s="47">
        <f t="shared" ref="N108:O108" si="28">IFERROR(N107/N90,0)</f>
        <v>0.70147916904185126</v>
      </c>
      <c r="O108" s="47">
        <f t="shared" si="28"/>
        <v>0.36638505011805622</v>
      </c>
      <c r="P108" s="110">
        <f t="shared" si="27"/>
        <v>0.4067696739741869</v>
      </c>
      <c r="Q108" s="110">
        <f t="shared" si="27"/>
        <v>0.30481039607843868</v>
      </c>
      <c r="R108" s="110">
        <f t="shared" si="27"/>
        <v>0.27784997220632968</v>
      </c>
      <c r="S108" s="110">
        <f t="shared" si="27"/>
        <v>0.24991671195732479</v>
      </c>
      <c r="V108" s="44"/>
    </row>
    <row r="109" spans="2:23" x14ac:dyDescent="0.25">
      <c r="B109" s="17"/>
      <c r="C109" s="47"/>
      <c r="D109" s="47"/>
      <c r="E109" s="47"/>
      <c r="F109" s="47"/>
      <c r="G109" s="47"/>
      <c r="H109" s="47"/>
      <c r="I109" s="47"/>
      <c r="J109" s="47"/>
      <c r="K109" s="82"/>
      <c r="L109" s="82"/>
      <c r="M109" s="82"/>
      <c r="N109" s="82"/>
      <c r="O109" s="82"/>
      <c r="P109" s="28"/>
      <c r="Q109" s="28"/>
      <c r="R109" s="28"/>
      <c r="S109" s="28"/>
    </row>
    <row r="110" spans="2:23" ht="18" x14ac:dyDescent="0.25">
      <c r="B110" s="20" t="s">
        <v>4</v>
      </c>
      <c r="C110" s="82">
        <v>1.4929E-2</v>
      </c>
      <c r="D110" s="82">
        <v>8.8079999999999999E-3</v>
      </c>
      <c r="E110" s="82">
        <v>0.19537199999999999</v>
      </c>
      <c r="F110" s="82">
        <v>1.7699999999999999E-4</v>
      </c>
      <c r="G110" s="82">
        <v>1.54E-4</v>
      </c>
      <c r="H110" s="82">
        <v>9.4900000000000002E-3</v>
      </c>
      <c r="I110" s="82">
        <v>2.6400000000000002E-4</v>
      </c>
      <c r="J110" s="82">
        <v>1.0510000000000001E-3</v>
      </c>
      <c r="K110" s="82">
        <v>1.7226000000000002E-2</v>
      </c>
      <c r="L110" s="82">
        <v>1.5106E-2</v>
      </c>
      <c r="M110" s="82">
        <v>7.8003000000000003E-2</v>
      </c>
      <c r="N110" s="82">
        <v>5.3134000000000001E-2</v>
      </c>
      <c r="O110" s="82">
        <v>1.2475999999999999E-2</v>
      </c>
      <c r="P110" s="81">
        <v>0</v>
      </c>
      <c r="Q110" s="57">
        <v>0</v>
      </c>
      <c r="R110" s="57">
        <v>0</v>
      </c>
      <c r="S110" s="57">
        <v>0</v>
      </c>
      <c r="T110" s="49"/>
    </row>
    <row r="111" spans="2:23" ht="18" x14ac:dyDescent="0.25">
      <c r="B111" s="20" t="s">
        <v>5</v>
      </c>
      <c r="C111" s="82">
        <v>-2.2026140000000001</v>
      </c>
      <c r="D111" s="82">
        <v>-1.3765970000000001</v>
      </c>
      <c r="E111" s="82">
        <v>-0.61984899999999998</v>
      </c>
      <c r="F111" s="82">
        <v>-2.1227480000000001</v>
      </c>
      <c r="G111" s="82">
        <v>-0.69654799999999994</v>
      </c>
      <c r="H111" s="82">
        <v>-0.67372399999999999</v>
      </c>
      <c r="I111" s="82">
        <v>-0.66629899999999997</v>
      </c>
      <c r="J111" s="82">
        <v>-0.68598499999999996</v>
      </c>
      <c r="K111" s="82">
        <f>-0.713606</f>
        <v>-0.71360599999999996</v>
      </c>
      <c r="L111" s="82">
        <v>-0.65407400000000004</v>
      </c>
      <c r="M111" s="82">
        <v>-1.3771990000000001</v>
      </c>
      <c r="N111" s="82">
        <v>-1.7795319999999999</v>
      </c>
      <c r="O111" s="82">
        <v>-1.4965869999999999</v>
      </c>
      <c r="P111" s="93">
        <f>-0.05*O236</f>
        <v>-1.9615948500000002</v>
      </c>
      <c r="Q111" s="93">
        <f t="shared" ref="Q111:S111" si="29">-0.05*P236</f>
        <v>-1.9615948500000002</v>
      </c>
      <c r="R111" s="93">
        <f t="shared" si="29"/>
        <v>-1.9615948500000002</v>
      </c>
      <c r="S111" s="93">
        <f t="shared" si="29"/>
        <v>-1.9615948500000002</v>
      </c>
    </row>
    <row r="112" spans="2:23" x14ac:dyDescent="0.25">
      <c r="B112" s="17" t="s">
        <v>0</v>
      </c>
      <c r="C112" s="82">
        <f>0.38895-0.027653</f>
        <v>0.36129700000000003</v>
      </c>
      <c r="D112" s="82">
        <f>0.032754-0.488655</f>
        <v>-0.455901</v>
      </c>
      <c r="E112" s="82">
        <v>4.1389000000000002E-2</v>
      </c>
      <c r="F112" s="82">
        <v>2.9367000000000001E-2</v>
      </c>
      <c r="G112" s="82">
        <v>-6.6207000000000002E-2</v>
      </c>
      <c r="H112" s="82">
        <v>8.3469000000000002E-2</v>
      </c>
      <c r="I112" s="82">
        <v>6.8476999999999996E-2</v>
      </c>
      <c r="J112" s="82">
        <v>-0.173683</v>
      </c>
      <c r="K112" s="82">
        <v>0.19788500000000001</v>
      </c>
      <c r="L112" s="82">
        <v>3.1486E-2</v>
      </c>
      <c r="M112" s="82">
        <v>0.10231800000000001</v>
      </c>
      <c r="N112" s="82">
        <v>0.111439</v>
      </c>
      <c r="O112" s="82">
        <v>-0.102461</v>
      </c>
      <c r="P112" s="174">
        <v>0</v>
      </c>
      <c r="Q112" s="103">
        <v>0</v>
      </c>
      <c r="R112" s="103">
        <v>0</v>
      </c>
      <c r="S112" s="103">
        <v>0</v>
      </c>
    </row>
    <row r="113" spans="2:21" x14ac:dyDescent="0.25">
      <c r="B113" s="17"/>
      <c r="C113" s="54"/>
      <c r="D113" s="54"/>
      <c r="E113" s="54"/>
      <c r="F113" s="54"/>
      <c r="G113" s="54"/>
      <c r="H113" s="54"/>
      <c r="I113" s="54"/>
      <c r="J113" s="54"/>
      <c r="K113" s="54"/>
      <c r="L113" s="54"/>
      <c r="M113" s="54"/>
      <c r="N113" s="54"/>
      <c r="O113" s="54"/>
      <c r="P113" s="30"/>
      <c r="Q113" s="30"/>
      <c r="R113" s="30"/>
      <c r="S113" s="30"/>
    </row>
    <row r="114" spans="2:21" ht="18" x14ac:dyDescent="0.25">
      <c r="B114" s="20" t="s">
        <v>6</v>
      </c>
      <c r="C114" s="87">
        <f t="shared" ref="C114:J114" si="30">C107+C110+C111+C112</f>
        <v>-48.442568999999992</v>
      </c>
      <c r="D114" s="87">
        <f t="shared" si="30"/>
        <v>8.5364979999999999</v>
      </c>
      <c r="E114" s="87">
        <f t="shared" si="30"/>
        <v>1.7557989999999972</v>
      </c>
      <c r="F114" s="87">
        <f t="shared" si="30"/>
        <v>4.2612870000000003</v>
      </c>
      <c r="G114" s="87">
        <f t="shared" si="30"/>
        <v>1.2830080000000015</v>
      </c>
      <c r="H114" s="87">
        <f t="shared" si="30"/>
        <v>0.99924999999999908</v>
      </c>
      <c r="I114" s="87">
        <f t="shared" si="30"/>
        <v>1.4855150000000015</v>
      </c>
      <c r="J114" s="87">
        <f t="shared" si="30"/>
        <v>-3.8674089999999985</v>
      </c>
      <c r="K114" s="87">
        <f>K107+K110+K111+K112</f>
        <v>1.5642620000000018</v>
      </c>
      <c r="L114" s="87">
        <f>L107+L110+L111+L112</f>
        <v>2.1575329999999986</v>
      </c>
      <c r="M114" s="87">
        <f>M107+M110+M111+M112</f>
        <v>3.2258879999999999</v>
      </c>
      <c r="N114" s="87">
        <f>N107+N110+N111+N112</f>
        <v>3.8610749999999987</v>
      </c>
      <c r="O114" s="87">
        <f>O107+O110+O111+O112</f>
        <v>6.2230250000000007</v>
      </c>
      <c r="P114" s="92">
        <f>P79</f>
        <v>6.4761396735000005</v>
      </c>
      <c r="Q114" s="92">
        <f t="shared" ref="Q114:S114" si="31">Q79</f>
        <v>8.8940253811350019</v>
      </c>
      <c r="R114" s="92">
        <f t="shared" si="31"/>
        <v>10.491521711593577</v>
      </c>
      <c r="S114" s="92">
        <f t="shared" si="31"/>
        <v>12.570491887263822</v>
      </c>
    </row>
    <row r="115" spans="2:21" x14ac:dyDescent="0.25">
      <c r="B115" s="17" t="s">
        <v>7</v>
      </c>
      <c r="C115" s="82">
        <v>-9.9679999999999994E-3</v>
      </c>
      <c r="D115" s="82">
        <v>-7.8443820000000004</v>
      </c>
      <c r="E115" s="82">
        <v>-0.59005700000000005</v>
      </c>
      <c r="F115" s="82">
        <v>-3.3375010000000001</v>
      </c>
      <c r="G115" s="82">
        <v>-0.95609900000000003</v>
      </c>
      <c r="H115" s="82">
        <v>-0.86182499999999995</v>
      </c>
      <c r="I115" s="82">
        <v>-0.42846499999999998</v>
      </c>
      <c r="J115" s="82">
        <v>0.26445600000000002</v>
      </c>
      <c r="K115" s="82">
        <v>-0.35048600000000002</v>
      </c>
      <c r="L115" s="82">
        <v>-0.65962100000000001</v>
      </c>
      <c r="M115" s="82">
        <v>-0.91918</v>
      </c>
      <c r="N115" s="82">
        <v>-1.0678460000000001</v>
      </c>
      <c r="O115" s="82">
        <v>-1.6758360000000001</v>
      </c>
      <c r="P115" s="93">
        <f t="shared" ref="P115:S115" si="32">-P116*P114</f>
        <v>-1.7934625233001522</v>
      </c>
      <c r="Q115" s="93">
        <f t="shared" si="32"/>
        <v>-2.4630570071885551</v>
      </c>
      <c r="R115" s="93">
        <f t="shared" si="32"/>
        <v>-2.9054578731721277</v>
      </c>
      <c r="S115" s="93">
        <f t="shared" si="32"/>
        <v>-3.4811951619122636</v>
      </c>
    </row>
    <row r="116" spans="2:21" x14ac:dyDescent="0.25">
      <c r="B116" s="17" t="s">
        <v>8</v>
      </c>
      <c r="C116" s="47">
        <f t="shared" ref="C116:H116" si="33">IFERROR(-C115/C114,0)</f>
        <v>-2.0576943390430017E-4</v>
      </c>
      <c r="D116" s="47">
        <f t="shared" si="33"/>
        <v>0.91892272451771218</v>
      </c>
      <c r="E116" s="47">
        <f t="shared" si="33"/>
        <v>0.33606181573175575</v>
      </c>
      <c r="F116" s="47">
        <f t="shared" si="33"/>
        <v>0.7832143199929974</v>
      </c>
      <c r="G116" s="47">
        <f t="shared" si="33"/>
        <v>0.74520112111537806</v>
      </c>
      <c r="H116" s="47">
        <f t="shared" si="33"/>
        <v>0.86247185389041858</v>
      </c>
      <c r="I116" s="47">
        <f>IFERROR(-I115/I114,0)</f>
        <v>0.2884285921044214</v>
      </c>
      <c r="J116" s="47">
        <f t="shared" ref="J116:O116" si="34">IFERROR(-J115/J114,0)</f>
        <v>6.838066519470791E-2</v>
      </c>
      <c r="K116" s="47">
        <f t="shared" si="34"/>
        <v>0.22405837385297322</v>
      </c>
      <c r="L116" s="47">
        <f t="shared" si="34"/>
        <v>0.30572927505627978</v>
      </c>
      <c r="M116" s="47">
        <f t="shared" si="34"/>
        <v>0.28493859675227412</v>
      </c>
      <c r="N116" s="47">
        <f t="shared" si="34"/>
        <v>0.27656701825268881</v>
      </c>
      <c r="O116" s="47">
        <f t="shared" si="34"/>
        <v>0.26929604171604643</v>
      </c>
      <c r="P116" s="110">
        <f>+AVERAGE(M116:O116)</f>
        <v>0.27693388557366977</v>
      </c>
      <c r="Q116" s="110">
        <f>+P116</f>
        <v>0.27693388557366977</v>
      </c>
      <c r="R116" s="110">
        <f t="shared" ref="R116:S116" si="35">+Q116</f>
        <v>0.27693388557366977</v>
      </c>
      <c r="S116" s="110">
        <f t="shared" si="35"/>
        <v>0.27693388557366977</v>
      </c>
    </row>
    <row r="117" spans="2:21" x14ac:dyDescent="0.25">
      <c r="B117" s="17"/>
      <c r="C117" s="47"/>
      <c r="D117" s="47"/>
      <c r="E117" s="47"/>
      <c r="F117" s="47"/>
      <c r="G117" s="47"/>
      <c r="H117" s="47"/>
      <c r="I117" s="47"/>
      <c r="J117" s="47"/>
      <c r="K117" s="47"/>
      <c r="L117" s="47"/>
      <c r="M117" s="47"/>
      <c r="N117" s="47"/>
      <c r="O117" s="47"/>
      <c r="P117" s="30"/>
      <c r="Q117" s="30"/>
      <c r="R117" s="30"/>
      <c r="S117" s="30"/>
    </row>
    <row r="118" spans="2:21" ht="18" x14ac:dyDescent="0.25">
      <c r="B118" s="21" t="s">
        <v>9</v>
      </c>
      <c r="C118" s="87">
        <f t="shared" ref="C118:J118" si="36">C114+C115</f>
        <v>-48.452536999999992</v>
      </c>
      <c r="D118" s="87">
        <f t="shared" si="36"/>
        <v>0.69211599999999951</v>
      </c>
      <c r="E118" s="87">
        <f t="shared" si="36"/>
        <v>1.1657419999999972</v>
      </c>
      <c r="F118" s="87">
        <f t="shared" si="36"/>
        <v>0.92378600000000022</v>
      </c>
      <c r="G118" s="87">
        <f t="shared" si="36"/>
        <v>0.32690900000000145</v>
      </c>
      <c r="H118" s="87">
        <f t="shared" si="36"/>
        <v>0.13742499999999913</v>
      </c>
      <c r="I118" s="87">
        <f t="shared" si="36"/>
        <v>1.0570500000000016</v>
      </c>
      <c r="J118" s="87">
        <f t="shared" si="36"/>
        <v>-3.6029529999999985</v>
      </c>
      <c r="K118" s="87">
        <f>K114+K115</f>
        <v>1.2137760000000017</v>
      </c>
      <c r="L118" s="87">
        <f>L114+L115</f>
        <v>1.4979119999999986</v>
      </c>
      <c r="M118" s="87">
        <f>M114+M115</f>
        <v>2.306708</v>
      </c>
      <c r="N118" s="87">
        <f>N114+N115</f>
        <v>2.7932289999999984</v>
      </c>
      <c r="O118" s="87">
        <f>O114+O115</f>
        <v>4.5471890000000004</v>
      </c>
      <c r="P118" s="92">
        <f>+SUM(P114:P115)</f>
        <v>4.6826771501998481</v>
      </c>
      <c r="Q118" s="92">
        <f t="shared" ref="Q118:S118" si="37">+SUM(Q114:Q115)</f>
        <v>6.4309683739464472</v>
      </c>
      <c r="R118" s="92">
        <f t="shared" si="37"/>
        <v>7.5860638384214498</v>
      </c>
      <c r="S118" s="92">
        <f t="shared" si="37"/>
        <v>9.0892967253515593</v>
      </c>
      <c r="T118" s="48"/>
      <c r="U118" s="48"/>
    </row>
    <row r="119" spans="2:21" x14ac:dyDescent="0.25">
      <c r="B119" s="17" t="s">
        <v>10</v>
      </c>
      <c r="C119" s="82"/>
      <c r="D119" s="82"/>
      <c r="E119" s="82"/>
      <c r="F119" s="82"/>
      <c r="G119" s="82"/>
      <c r="H119" s="82"/>
      <c r="I119" s="82"/>
      <c r="J119" s="82"/>
      <c r="K119" s="82"/>
      <c r="L119" s="82"/>
      <c r="M119" s="82"/>
      <c r="N119" s="82">
        <v>4.3100000000000001E-4</v>
      </c>
      <c r="O119" s="82">
        <v>2.5699999999999998E-3</v>
      </c>
      <c r="P119" s="57"/>
      <c r="Q119" s="57"/>
      <c r="R119" s="57"/>
      <c r="S119" s="57"/>
      <c r="T119" s="48"/>
    </row>
    <row r="120" spans="2:21" ht="18" customHeight="1" x14ac:dyDescent="0.25">
      <c r="B120" s="21" t="s">
        <v>75</v>
      </c>
      <c r="C120" s="87">
        <f t="shared" ref="C120:J120" si="38">C118+C119</f>
        <v>-48.452536999999992</v>
      </c>
      <c r="D120" s="87">
        <f t="shared" si="38"/>
        <v>0.69211599999999951</v>
      </c>
      <c r="E120" s="87">
        <f t="shared" si="38"/>
        <v>1.1657419999999972</v>
      </c>
      <c r="F120" s="87">
        <f t="shared" si="38"/>
        <v>0.92378600000000022</v>
      </c>
      <c r="G120" s="87">
        <f t="shared" si="38"/>
        <v>0.32690900000000145</v>
      </c>
      <c r="H120" s="87">
        <f t="shared" si="38"/>
        <v>0.13742499999999913</v>
      </c>
      <c r="I120" s="87">
        <f t="shared" si="38"/>
        <v>1.0570500000000016</v>
      </c>
      <c r="J120" s="87">
        <f t="shared" si="38"/>
        <v>-3.6029529999999985</v>
      </c>
      <c r="K120" s="87">
        <f>K118+K119</f>
        <v>1.2137760000000017</v>
      </c>
      <c r="L120" s="87">
        <f>L118+L119</f>
        <v>1.4979119999999986</v>
      </c>
      <c r="M120" s="87">
        <f>M118+M119</f>
        <v>2.306708</v>
      </c>
      <c r="N120" s="87">
        <f>N118+N119</f>
        <v>2.7936599999999983</v>
      </c>
      <c r="O120" s="87">
        <f>O118+O119</f>
        <v>4.5497590000000008</v>
      </c>
      <c r="P120" s="79">
        <f>+SUM(P118:P119)</f>
        <v>4.6826771501998481</v>
      </c>
      <c r="Q120" s="79">
        <f t="shared" ref="Q120:S120" si="39">+SUM(Q118:Q119)</f>
        <v>6.4309683739464472</v>
      </c>
      <c r="R120" s="79">
        <f t="shared" si="39"/>
        <v>7.5860638384214498</v>
      </c>
      <c r="S120" s="79">
        <f t="shared" si="39"/>
        <v>9.0892967253515593</v>
      </c>
    </row>
    <row r="121" spans="2:21" x14ac:dyDescent="0.25">
      <c r="B121" s="17" t="s">
        <v>11</v>
      </c>
      <c r="C121" s="47">
        <f t="shared" ref="C121:S121" si="40">IFERROR(C120/C90,0)</f>
        <v>-3.8734447574571096</v>
      </c>
      <c r="D121" s="47">
        <f t="shared" si="40"/>
        <v>4.0599819278960086E-2</v>
      </c>
      <c r="E121" s="47">
        <f t="shared" si="40"/>
        <v>0.1441861506381151</v>
      </c>
      <c r="F121" s="47">
        <f t="shared" si="40"/>
        <v>0.10168849714826482</v>
      </c>
      <c r="G121" s="47">
        <f t="shared" si="40"/>
        <v>4.1409998877692172E-2</v>
      </c>
      <c r="H121" s="47">
        <f t="shared" si="40"/>
        <v>2.8181118722228834E-2</v>
      </c>
      <c r="I121" s="47">
        <f t="shared" si="40"/>
        <v>0.19286572874253144</v>
      </c>
      <c r="J121" s="47">
        <f t="shared" si="40"/>
        <v>-0.94855265510012277</v>
      </c>
      <c r="K121" s="47">
        <f t="shared" si="40"/>
        <v>7.2179420965450158E-2</v>
      </c>
      <c r="L121" s="47">
        <f t="shared" si="40"/>
        <v>0.13010601657550735</v>
      </c>
      <c r="M121" s="47">
        <f t="shared" si="40"/>
        <v>0.17215258874294492</v>
      </c>
      <c r="N121" s="47">
        <f t="shared" ref="N121:O121" si="41">IFERROR(N120/N90,0)</f>
        <v>0.35786744483059407</v>
      </c>
      <c r="O121" s="47">
        <f t="shared" si="41"/>
        <v>0.21345066579492866</v>
      </c>
      <c r="P121" s="28">
        <f t="shared" si="40"/>
        <v>0.22574436922709218</v>
      </c>
      <c r="Q121" s="28">
        <f t="shared" si="40"/>
        <v>0.18057245698485336</v>
      </c>
      <c r="R121" s="28">
        <f t="shared" si="40"/>
        <v>0.16925784129905524</v>
      </c>
      <c r="S121" s="28">
        <f t="shared" si="40"/>
        <v>0.15631389990120878</v>
      </c>
    </row>
    <row r="122" spans="2:21" x14ac:dyDescent="0.25">
      <c r="B122" s="17"/>
      <c r="C122" s="47"/>
      <c r="D122" s="47"/>
      <c r="E122" s="47"/>
      <c r="F122" s="47"/>
      <c r="G122" s="47"/>
      <c r="H122" s="47"/>
      <c r="I122" s="47"/>
      <c r="J122" s="47"/>
      <c r="K122" s="47"/>
      <c r="L122" s="47"/>
      <c r="M122" s="47"/>
      <c r="N122" s="47"/>
      <c r="O122" s="47"/>
      <c r="P122" s="28"/>
      <c r="Q122" s="28"/>
      <c r="R122" s="28"/>
      <c r="S122" s="28"/>
    </row>
    <row r="123" spans="2:21" ht="18" x14ac:dyDescent="0.25">
      <c r="B123" s="21" t="s">
        <v>12</v>
      </c>
      <c r="C123" s="55">
        <f t="shared" ref="C123:M123" si="42">C120/C274</f>
        <v>-2.3217003309962769</v>
      </c>
      <c r="D123" s="55">
        <f t="shared" si="42"/>
        <v>3.3166590528873864E-2</v>
      </c>
      <c r="E123" s="55">
        <f t="shared" si="42"/>
        <v>5.58703149909218E-2</v>
      </c>
      <c r="F123" s="55">
        <f t="shared" si="42"/>
        <v>4.425222945899944E-2</v>
      </c>
      <c r="G123" s="55">
        <f t="shared" si="42"/>
        <v>1.5648118962638281E-2</v>
      </c>
      <c r="H123" s="55">
        <f t="shared" si="42"/>
        <v>6.5772993123233937E-3</v>
      </c>
      <c r="I123" s="55">
        <f t="shared" si="42"/>
        <v>5.0560141121650297E-2</v>
      </c>
      <c r="J123" s="55">
        <f t="shared" si="42"/>
        <v>-0.17229731070660265</v>
      </c>
      <c r="K123" s="55">
        <f t="shared" si="42"/>
        <v>5.5387046658463328E-2</v>
      </c>
      <c r="L123" s="55">
        <f t="shared" si="42"/>
        <v>6.8352745345328883E-2</v>
      </c>
      <c r="M123" s="55">
        <f t="shared" si="42"/>
        <v>0.10525973789517212</v>
      </c>
      <c r="N123" s="55">
        <f t="shared" ref="N123:O123" si="43">N120/N274</f>
        <v>0.12748033967378028</v>
      </c>
      <c r="O123" s="55">
        <f t="shared" si="43"/>
        <v>0.20761467850555879</v>
      </c>
      <c r="P123" s="29">
        <f>P120/P274</f>
        <v>0.21368000175043722</v>
      </c>
      <c r="Q123" s="29">
        <f t="shared" ref="Q123:S123" si="44">Q120/Q274</f>
        <v>0.29345805600611097</v>
      </c>
      <c r="R123" s="29">
        <f t="shared" si="44"/>
        <v>0.34616739148964026</v>
      </c>
      <c r="S123" s="29">
        <f t="shared" si="44"/>
        <v>0.41476293963603167</v>
      </c>
    </row>
    <row r="124" spans="2:21" x14ac:dyDescent="0.25">
      <c r="B124" s="51" t="s">
        <v>13</v>
      </c>
      <c r="C124" s="47"/>
      <c r="D124" s="47">
        <f t="shared" ref="D124:S124" si="45">IFERROR((D123-C123)/C123,0)</f>
        <v>-1.0142854743508787</v>
      </c>
      <c r="E124" s="47">
        <f t="shared" si="45"/>
        <v>0.68453597731978921</v>
      </c>
      <c r="F124" s="47">
        <f t="shared" si="45"/>
        <v>-0.20794737838528651</v>
      </c>
      <c r="G124" s="47">
        <f t="shared" si="45"/>
        <v>-0.64638800905756466</v>
      </c>
      <c r="H124" s="47">
        <f t="shared" si="45"/>
        <v>-0.57967476295218179</v>
      </c>
      <c r="I124" s="47">
        <f t="shared" si="45"/>
        <v>6.6870670955964471</v>
      </c>
      <c r="J124" s="47">
        <f t="shared" si="45"/>
        <v>-4.4077695766719973</v>
      </c>
      <c r="K124" s="47">
        <f t="shared" si="45"/>
        <v>-1.321462049705346</v>
      </c>
      <c r="L124" s="47">
        <f t="shared" si="45"/>
        <v>0.23409261675959667</v>
      </c>
      <c r="M124" s="47">
        <f t="shared" si="45"/>
        <v>0.53994894226096224</v>
      </c>
      <c r="N124" s="47">
        <f t="shared" si="45"/>
        <v>0.21110257561858639</v>
      </c>
      <c r="O124" s="47">
        <f t="shared" si="45"/>
        <v>0.62860154779035515</v>
      </c>
      <c r="P124" s="28">
        <f>IFERROR((P123-O123)/O123,0)</f>
        <v>2.9214327659958968E-2</v>
      </c>
      <c r="Q124" s="28">
        <f t="shared" si="45"/>
        <v>0.37335292775244705</v>
      </c>
      <c r="R124" s="28">
        <f t="shared" si="45"/>
        <v>0.17961454594530429</v>
      </c>
      <c r="S124" s="28">
        <f t="shared" si="45"/>
        <v>0.19815716278534648</v>
      </c>
    </row>
    <row r="125" spans="2:21" x14ac:dyDescent="0.25">
      <c r="B125" s="51"/>
      <c r="C125" s="47"/>
      <c r="D125" s="47"/>
      <c r="E125" s="47"/>
      <c r="F125" s="47"/>
      <c r="G125" s="47"/>
      <c r="H125" s="47"/>
      <c r="I125" s="47"/>
      <c r="J125" s="47"/>
      <c r="K125" s="47"/>
      <c r="L125" s="47"/>
      <c r="M125" s="47"/>
      <c r="N125" s="47"/>
      <c r="O125" s="47"/>
      <c r="P125" s="28"/>
      <c r="Q125" s="28"/>
      <c r="R125" s="28"/>
      <c r="S125" s="28"/>
    </row>
    <row r="126" spans="2:21" ht="18" x14ac:dyDescent="0.25">
      <c r="B126" s="21" t="s">
        <v>14</v>
      </c>
      <c r="C126" s="82">
        <f>+C127/C274</f>
        <v>0</v>
      </c>
      <c r="D126" s="82">
        <f>+D127/D274</f>
        <v>0</v>
      </c>
      <c r="E126" s="82">
        <f>+E127/E274</f>
        <v>0</v>
      </c>
      <c r="F126" s="82">
        <f>+F127/F274</f>
        <v>0</v>
      </c>
      <c r="G126" s="82">
        <f>+(G127+G128)/G274</f>
        <v>9.9947992617967357E-3</v>
      </c>
      <c r="H126" s="82">
        <f>+(H127+H128)/H274</f>
        <v>1.5003278000581415E-2</v>
      </c>
      <c r="I126" s="82">
        <f>+(I127+I128)/I274</f>
        <v>2.0963959786260776E-2</v>
      </c>
      <c r="J126" s="82">
        <f>+J127/J274</f>
        <v>0</v>
      </c>
      <c r="K126" s="82">
        <f>+(K127+K128)/K274</f>
        <v>2.8900718330079921E-2</v>
      </c>
      <c r="L126" s="82">
        <f>+(L127+L128)/L274</f>
        <v>3.3640013948794852E-2</v>
      </c>
      <c r="M126" s="82">
        <f>+(M127+M128)/M274</f>
        <v>3.8583061997756907E-2</v>
      </c>
      <c r="N126" s="82">
        <f>+(N127+N128)/N274</f>
        <v>1.92978254792571E-2</v>
      </c>
      <c r="O126" s="82">
        <f>+(O127+O128)/O274</f>
        <v>1.9392694441901729E-2</v>
      </c>
      <c r="P126" s="57">
        <f>P127/P274</f>
        <v>4.563201666408237E-2</v>
      </c>
      <c r="Q126" s="57">
        <f t="shared" ref="Q126:S126" si="46">Q127/Q274</f>
        <v>4.563201666408237E-2</v>
      </c>
      <c r="R126" s="57">
        <f t="shared" si="46"/>
        <v>4.563201666408237E-2</v>
      </c>
      <c r="S126" s="57">
        <f t="shared" si="46"/>
        <v>4.563201666408237E-2</v>
      </c>
    </row>
    <row r="127" spans="2:21" x14ac:dyDescent="0.25">
      <c r="B127" s="51" t="s">
        <v>261</v>
      </c>
      <c r="C127" s="156">
        <v>0</v>
      </c>
      <c r="D127" s="156">
        <v>0</v>
      </c>
      <c r="E127" s="156">
        <v>0</v>
      </c>
      <c r="F127" s="156">
        <v>0</v>
      </c>
      <c r="G127" s="156">
        <v>0</v>
      </c>
      <c r="H127" s="156">
        <v>0</v>
      </c>
      <c r="I127" s="213">
        <v>0.43828899999999998</v>
      </c>
      <c r="J127" s="156">
        <v>0</v>
      </c>
      <c r="K127" s="156">
        <v>0.42239700000000002</v>
      </c>
      <c r="L127" s="156">
        <v>0.42144900000000002</v>
      </c>
      <c r="M127" s="156">
        <v>0.422763</v>
      </c>
      <c r="N127" s="156">
        <v>0.42290100000000003</v>
      </c>
      <c r="O127" s="156">
        <v>0.42498000000000002</v>
      </c>
      <c r="P127" s="105">
        <v>1</v>
      </c>
      <c r="Q127" s="105">
        <v>1</v>
      </c>
      <c r="R127" s="105">
        <v>1</v>
      </c>
      <c r="S127" s="105">
        <v>1</v>
      </c>
    </row>
    <row r="128" spans="2:21" x14ac:dyDescent="0.25">
      <c r="B128" s="51" t="s">
        <v>262</v>
      </c>
      <c r="C128" s="156">
        <v>0</v>
      </c>
      <c r="D128" s="156">
        <v>0</v>
      </c>
      <c r="E128" s="156">
        <v>0</v>
      </c>
      <c r="F128" s="156">
        <v>0</v>
      </c>
      <c r="G128" s="156">
        <v>0.20880399999999999</v>
      </c>
      <c r="H128" s="156">
        <v>0.31347599999999998</v>
      </c>
      <c r="I128" s="213"/>
      <c r="J128" s="156">
        <v>0</v>
      </c>
      <c r="K128" s="156">
        <v>0.21094599999999999</v>
      </c>
      <c r="L128" s="156">
        <v>0.31575300000000001</v>
      </c>
      <c r="M128" s="156">
        <f>422763.12/1000000</f>
        <v>0.42276311999999999</v>
      </c>
      <c r="N128" s="156"/>
      <c r="O128" s="156"/>
      <c r="P128" s="105"/>
      <c r="Q128" s="105"/>
      <c r="R128" s="105"/>
      <c r="S128" s="105">
        <v>3</v>
      </c>
    </row>
    <row r="129" spans="2:22" x14ac:dyDescent="0.25">
      <c r="B129" s="51" t="s">
        <v>15</v>
      </c>
      <c r="C129" s="47">
        <f t="shared" ref="C129:I129" si="47">IFERROR(C126/C123,0)</f>
        <v>0</v>
      </c>
      <c r="D129" s="47">
        <f t="shared" si="47"/>
        <v>0</v>
      </c>
      <c r="E129" s="47">
        <f t="shared" si="47"/>
        <v>0</v>
      </c>
      <c r="F129" s="47">
        <f t="shared" si="47"/>
        <v>0</v>
      </c>
      <c r="G129" s="47">
        <f t="shared" si="47"/>
        <v>0.63872209085708587</v>
      </c>
      <c r="H129" s="47">
        <f t="shared" si="47"/>
        <v>2.2810696743678514</v>
      </c>
      <c r="I129" s="47">
        <f t="shared" si="47"/>
        <v>0.4146341232675837</v>
      </c>
      <c r="J129" s="47">
        <f>IFERROR(J126/J123,0)</f>
        <v>0</v>
      </c>
      <c r="K129" s="47">
        <f>K126/K123</f>
        <v>0.5217956196200938</v>
      </c>
      <c r="L129" s="47">
        <f>L126/L123</f>
        <v>0.49215307708330047</v>
      </c>
      <c r="M129" s="47">
        <f>M126/M123</f>
        <v>0.36655099821910703</v>
      </c>
      <c r="N129" s="47">
        <f>N126/N123</f>
        <v>0.15137883636519844</v>
      </c>
      <c r="O129" s="47">
        <f>O126/O123</f>
        <v>9.3407145301542344E-2</v>
      </c>
      <c r="P129" s="28">
        <f>P127/P120</f>
        <v>0.21355305265008967</v>
      </c>
      <c r="Q129" s="28">
        <f>Q127/Q120</f>
        <v>0.15549757701363676</v>
      </c>
      <c r="R129" s="28">
        <f>(R127+R128)/R120</f>
        <v>0.1318206676478596</v>
      </c>
      <c r="S129" s="28">
        <f>(S127+S128)/S120</f>
        <v>0.44007805233636338</v>
      </c>
    </row>
    <row r="130" spans="2:22" x14ac:dyDescent="0.25">
      <c r="B130" s="71"/>
      <c r="C130" s="88"/>
      <c r="D130" s="88"/>
      <c r="E130" s="88"/>
      <c r="F130" s="88"/>
      <c r="G130" s="88"/>
      <c r="H130" s="88"/>
      <c r="I130" s="88"/>
      <c r="J130" s="88"/>
      <c r="K130" s="88"/>
      <c r="L130" s="88"/>
      <c r="M130" s="88"/>
      <c r="N130" s="88"/>
      <c r="O130" s="88"/>
    </row>
    <row r="131" spans="2:22" x14ac:dyDescent="0.25">
      <c r="B131" s="51" t="s">
        <v>278</v>
      </c>
      <c r="C131" s="127">
        <f t="shared" ref="C131:M131" si="48">IFERROR((C152/-C97)*365,0)</f>
        <v>1554.8474482649069</v>
      </c>
      <c r="D131" s="127">
        <f t="shared" si="48"/>
        <v>-4659.9768082425944</v>
      </c>
      <c r="E131" s="127">
        <f t="shared" si="48"/>
        <v>9372.9239793626166</v>
      </c>
      <c r="F131" s="127">
        <f t="shared" si="48"/>
        <v>-4514.1376407139896</v>
      </c>
      <c r="G131" s="127">
        <f t="shared" si="48"/>
        <v>7028.9615334423388</v>
      </c>
      <c r="H131" s="127">
        <f t="shared" si="48"/>
        <v>2731.7391984654932</v>
      </c>
      <c r="I131" s="127">
        <f t="shared" si="48"/>
        <v>1802.4575910674766</v>
      </c>
      <c r="J131" s="127">
        <f t="shared" si="48"/>
        <v>1125.6026003508412</v>
      </c>
      <c r="K131" s="127">
        <f t="shared" si="48"/>
        <v>1389.116125986887</v>
      </c>
      <c r="L131" s="127">
        <f t="shared" si="48"/>
        <v>1057.4880999718264</v>
      </c>
      <c r="M131" s="127">
        <f t="shared" si="48"/>
        <v>1146.1919832046128</v>
      </c>
      <c r="N131" s="127">
        <f t="shared" ref="N131:O131" si="49">IFERROR((N152/-N97)*365,0)</f>
        <v>1070.8363167724992</v>
      </c>
      <c r="O131" s="127">
        <f t="shared" si="49"/>
        <v>568.62004588570517</v>
      </c>
      <c r="P131" s="126">
        <f>+O131</f>
        <v>568.62004588570517</v>
      </c>
      <c r="Q131" s="126">
        <f>+P131</f>
        <v>568.62004588570517</v>
      </c>
      <c r="R131" s="126">
        <f t="shared" ref="R131:S131" si="50">+Q131</f>
        <v>568.62004588570517</v>
      </c>
      <c r="S131" s="126">
        <f t="shared" si="50"/>
        <v>568.62004588570517</v>
      </c>
    </row>
    <row r="132" spans="2:22" x14ac:dyDescent="0.25">
      <c r="B132" s="51" t="s">
        <v>124</v>
      </c>
      <c r="C132" s="127">
        <f t="shared" ref="C132:M132" si="51">IFERROR((C154/C90)*365,0)</f>
        <v>47.807762648373348</v>
      </c>
      <c r="D132" s="127">
        <f t="shared" si="51"/>
        <v>14.174118691628475</v>
      </c>
      <c r="E132" s="127">
        <f t="shared" si="51"/>
        <v>42.60195357341064</v>
      </c>
      <c r="F132" s="127">
        <f t="shared" si="51"/>
        <v>36.105491691369082</v>
      </c>
      <c r="G132" s="127">
        <f t="shared" si="51"/>
        <v>50.02459893955826</v>
      </c>
      <c r="H132" s="127">
        <f t="shared" si="51"/>
        <v>127.15748123856247</v>
      </c>
      <c r="I132" s="127">
        <f t="shared" si="51"/>
        <v>77.042336860097407</v>
      </c>
      <c r="J132" s="127">
        <f t="shared" si="51"/>
        <v>107.94849710494161</v>
      </c>
      <c r="K132" s="127">
        <f t="shared" si="51"/>
        <v>34.497340791664179</v>
      </c>
      <c r="L132" s="127">
        <f t="shared" si="51"/>
        <v>32.146219611880859</v>
      </c>
      <c r="M132" s="127">
        <f t="shared" si="51"/>
        <v>36.258333889336427</v>
      </c>
      <c r="N132" s="127">
        <f t="shared" ref="N132:O132" si="52">IFERROR((N154/N90)*365,0)</f>
        <v>136.4862785838817</v>
      </c>
      <c r="O132" s="127">
        <f t="shared" si="52"/>
        <v>43.401533651552739</v>
      </c>
      <c r="P132" s="126">
        <f>+O132</f>
        <v>43.401533651552739</v>
      </c>
      <c r="Q132" s="126">
        <f>+P132</f>
        <v>43.401533651552739</v>
      </c>
      <c r="R132" s="126">
        <f t="shared" ref="R132:S132" si="53">+Q132</f>
        <v>43.401533651552739</v>
      </c>
      <c r="S132" s="126">
        <f t="shared" si="53"/>
        <v>43.401533651552739</v>
      </c>
    </row>
    <row r="133" spans="2:22" x14ac:dyDescent="0.25">
      <c r="B133" s="51" t="s">
        <v>125</v>
      </c>
      <c r="C133" s="127">
        <f t="shared" ref="C133:M133" si="54">IFERROR(C180/(-C97/365),0)</f>
        <v>89.140141249600873</v>
      </c>
      <c r="D133" s="127">
        <f t="shared" si="54"/>
        <v>-105.2994189122699</v>
      </c>
      <c r="E133" s="127">
        <f t="shared" si="54"/>
        <v>403.80581440848681</v>
      </c>
      <c r="F133" s="127">
        <f t="shared" si="54"/>
        <v>-580.86508119677137</v>
      </c>
      <c r="G133" s="127">
        <f t="shared" si="54"/>
        <v>456.07053865463007</v>
      </c>
      <c r="H133" s="127">
        <f t="shared" si="54"/>
        <v>367.60058298989128</v>
      </c>
      <c r="I133" s="127">
        <f t="shared" si="54"/>
        <v>441.9147248657269</v>
      </c>
      <c r="J133" s="127">
        <f t="shared" si="54"/>
        <v>289.43686999719915</v>
      </c>
      <c r="K133" s="127">
        <f t="shared" si="54"/>
        <v>451.08017493545657</v>
      </c>
      <c r="L133" s="127">
        <f t="shared" si="54"/>
        <v>213.2873715883232</v>
      </c>
      <c r="M133" s="127">
        <f t="shared" si="54"/>
        <v>336.3393076441958</v>
      </c>
      <c r="N133" s="127">
        <f t="shared" ref="N133" si="55">IFERROR(N180/(-N97/365),0)</f>
        <v>395.44161580437077</v>
      </c>
      <c r="O133" s="127">
        <f>IFERROR(O180/-O97*365,0)</f>
        <v>261.78941599141382</v>
      </c>
      <c r="P133" s="126">
        <f>+O133</f>
        <v>261.78941599141382</v>
      </c>
      <c r="Q133" s="126">
        <f t="shared" ref="Q133:S133" si="56">P133</f>
        <v>261.78941599141382</v>
      </c>
      <c r="R133" s="126">
        <f t="shared" si="56"/>
        <v>261.78941599141382</v>
      </c>
      <c r="S133" s="126">
        <f t="shared" si="56"/>
        <v>261.78941599141382</v>
      </c>
    </row>
    <row r="134" spans="2:22" x14ac:dyDescent="0.25">
      <c r="B134" s="51"/>
    </row>
    <row r="136" spans="2:22" s="3" customFormat="1" x14ac:dyDescent="0.25"/>
    <row r="138" spans="2:22" x14ac:dyDescent="0.25">
      <c r="C138" s="60"/>
      <c r="D138" s="60"/>
      <c r="E138" s="60"/>
      <c r="F138" s="60"/>
      <c r="G138" s="60"/>
      <c r="H138" s="60"/>
      <c r="I138" s="60"/>
      <c r="J138" s="89"/>
      <c r="K138" s="60"/>
      <c r="L138" s="60"/>
      <c r="M138" s="60"/>
      <c r="N138" s="60"/>
      <c r="O138" s="60"/>
      <c r="P138" s="60"/>
    </row>
    <row r="139" spans="2:22" ht="30" x14ac:dyDescent="0.4">
      <c r="B139" s="26" t="s">
        <v>93</v>
      </c>
      <c r="C139" s="48"/>
      <c r="D139" s="48"/>
      <c r="E139" s="48"/>
      <c r="F139" s="48"/>
      <c r="G139" s="48"/>
      <c r="H139" s="48"/>
      <c r="I139" s="48"/>
    </row>
    <row r="140" spans="2:22" x14ac:dyDescent="0.25">
      <c r="J140" s="48"/>
      <c r="K140" s="48"/>
      <c r="L140" s="48"/>
      <c r="M140" s="48"/>
      <c r="N140" s="48"/>
      <c r="O140" s="48"/>
      <c r="P140" s="48"/>
      <c r="Q140" s="48"/>
      <c r="R140" s="48"/>
      <c r="S140" s="48"/>
    </row>
    <row r="141" spans="2:22" ht="22.5" x14ac:dyDescent="0.3">
      <c r="B141" s="18" t="s">
        <v>69</v>
      </c>
      <c r="C141" s="7">
        <v>2013</v>
      </c>
      <c r="D141" s="7">
        <v>2014</v>
      </c>
      <c r="E141" s="7">
        <v>2015</v>
      </c>
      <c r="F141" s="7">
        <v>2016</v>
      </c>
      <c r="G141" s="7">
        <v>2017</v>
      </c>
      <c r="H141" s="7">
        <v>2018</v>
      </c>
      <c r="I141" s="6">
        <v>2019</v>
      </c>
      <c r="J141" s="6">
        <v>2020</v>
      </c>
      <c r="K141" s="6">
        <v>2021</v>
      </c>
      <c r="L141" s="6">
        <v>2022</v>
      </c>
      <c r="M141" s="7">
        <v>2023</v>
      </c>
      <c r="N141" s="7">
        <v>2024</v>
      </c>
      <c r="O141" s="7">
        <v>2025</v>
      </c>
      <c r="P141" s="6" t="s">
        <v>61</v>
      </c>
      <c r="Q141" s="6" t="s">
        <v>78</v>
      </c>
      <c r="R141" s="6" t="s">
        <v>252</v>
      </c>
      <c r="S141" s="6" t="s">
        <v>270</v>
      </c>
    </row>
    <row r="142" spans="2:22" ht="18" x14ac:dyDescent="0.25">
      <c r="B142" s="20" t="s">
        <v>16</v>
      </c>
      <c r="C142" s="50"/>
      <c r="D142" s="50"/>
      <c r="E142" s="50"/>
      <c r="F142" s="50"/>
      <c r="G142" s="50"/>
      <c r="H142" s="50"/>
      <c r="I142" s="50"/>
      <c r="J142" s="50"/>
      <c r="K142" s="50"/>
      <c r="L142" s="50"/>
      <c r="M142" s="50"/>
      <c r="N142" s="50"/>
      <c r="O142" s="50"/>
      <c r="P142" s="27"/>
      <c r="Q142" s="27"/>
      <c r="R142" s="27"/>
      <c r="S142" s="27"/>
      <c r="T142" s="96"/>
      <c r="U142" s="48"/>
    </row>
    <row r="143" spans="2:22" x14ac:dyDescent="0.25">
      <c r="B143" s="56" t="s">
        <v>129</v>
      </c>
      <c r="C143" s="82">
        <v>5.5544669999999998</v>
      </c>
      <c r="D143" s="82">
        <v>5.5544669999999998</v>
      </c>
      <c r="E143" s="82">
        <v>5.5544669999999998</v>
      </c>
      <c r="F143" s="82">
        <v>5.5544669999999998</v>
      </c>
      <c r="G143" s="82">
        <v>5.5544669999999998</v>
      </c>
      <c r="H143" s="82">
        <v>0.59494000000000002</v>
      </c>
      <c r="I143" s="82">
        <v>0.59494000000000002</v>
      </c>
      <c r="J143" s="82">
        <v>0.59494000000000002</v>
      </c>
      <c r="K143" s="82">
        <v>0.59494000000000002</v>
      </c>
      <c r="L143" s="82">
        <v>0.59494000000000002</v>
      </c>
      <c r="M143" s="82">
        <v>0.59494000000000002</v>
      </c>
      <c r="N143" s="82">
        <v>0.29058200000000001</v>
      </c>
      <c r="O143" s="82">
        <v>0.29058200000000001</v>
      </c>
      <c r="P143" s="182">
        <f>O143</f>
        <v>0.29058200000000001</v>
      </c>
      <c r="Q143" s="182">
        <f t="shared" ref="Q143:S143" si="57">P143</f>
        <v>0.29058200000000001</v>
      </c>
      <c r="R143" s="182">
        <f t="shared" si="57"/>
        <v>0.29058200000000001</v>
      </c>
      <c r="S143" s="182">
        <f t="shared" si="57"/>
        <v>0.29058200000000001</v>
      </c>
      <c r="T143" s="186"/>
      <c r="U143" s="48"/>
      <c r="V143" s="48"/>
    </row>
    <row r="144" spans="2:22" x14ac:dyDescent="0.25">
      <c r="B144" s="111" t="s">
        <v>130</v>
      </c>
      <c r="C144" s="82">
        <v>7.0656999999999998E-2</v>
      </c>
      <c r="D144" s="82">
        <v>6.9089999999999999E-2</v>
      </c>
      <c r="E144" s="82">
        <v>6.6187999999999997E-2</v>
      </c>
      <c r="F144" s="82">
        <v>6.6020999999999996E-2</v>
      </c>
      <c r="G144" s="82">
        <v>6.2678999999999999E-2</v>
      </c>
      <c r="H144" s="82">
        <v>7.3208999999999996E-2</v>
      </c>
      <c r="I144" s="82">
        <v>1.994054</v>
      </c>
      <c r="J144" s="82">
        <v>2.1870449999999999</v>
      </c>
      <c r="K144" s="82">
        <v>1.9689399999999999</v>
      </c>
      <c r="L144" s="82">
        <v>1.697155</v>
      </c>
      <c r="M144" s="82">
        <v>1.469908</v>
      </c>
      <c r="N144" s="82">
        <v>1.243439</v>
      </c>
      <c r="O144" s="82">
        <v>1.0248200000000001</v>
      </c>
      <c r="P144" s="182">
        <f>O144-P194-P214</f>
        <v>1.0448200000000001</v>
      </c>
      <c r="Q144" s="182">
        <f t="shared" ref="Q144:S144" si="58">P144-Q194-Q214</f>
        <v>1.0648200000000001</v>
      </c>
      <c r="R144" s="182">
        <f t="shared" si="58"/>
        <v>1.0848200000000001</v>
      </c>
      <c r="S144" s="182">
        <f t="shared" si="58"/>
        <v>1.1048200000000001</v>
      </c>
      <c r="T144" s="188"/>
      <c r="U144" s="48"/>
    </row>
    <row r="145" spans="2:33" x14ac:dyDescent="0.25">
      <c r="B145" s="111" t="s">
        <v>131</v>
      </c>
      <c r="C145" s="82">
        <v>0.76834800000000003</v>
      </c>
      <c r="D145" s="82">
        <v>0.69986700000000002</v>
      </c>
      <c r="E145" s="82">
        <v>0.73814800000000003</v>
      </c>
      <c r="F145" s="82">
        <v>0.65069200000000005</v>
      </c>
      <c r="G145" s="82">
        <v>0.58831299999999997</v>
      </c>
      <c r="H145" s="82">
        <v>0.43668000000000001</v>
      </c>
      <c r="I145" s="82">
        <v>0.41920000000000002</v>
      </c>
      <c r="J145" s="82">
        <v>0.34538200000000002</v>
      </c>
      <c r="K145" s="82">
        <v>0.32832899999999998</v>
      </c>
      <c r="L145" s="82">
        <v>0.38365199999999999</v>
      </c>
      <c r="M145" s="82">
        <v>0.50724100000000005</v>
      </c>
      <c r="N145" s="82">
        <v>0.64156299999999999</v>
      </c>
      <c r="O145" s="82">
        <v>0.49353799999999998</v>
      </c>
      <c r="P145" s="182">
        <f>O145-P212</f>
        <v>0.59353800000000001</v>
      </c>
      <c r="Q145" s="182">
        <f t="shared" ref="Q145:S145" si="59">P145-Q212</f>
        <v>0.69353799999999999</v>
      </c>
      <c r="R145" s="182">
        <f t="shared" si="59"/>
        <v>0.79353799999999997</v>
      </c>
      <c r="S145" s="182">
        <f t="shared" si="59"/>
        <v>0.89353799999999994</v>
      </c>
      <c r="T145" s="188"/>
      <c r="U145" s="48"/>
      <c r="AA145" s="211" t="s">
        <v>191</v>
      </c>
      <c r="AB145" s="211"/>
    </row>
    <row r="146" spans="2:33" x14ac:dyDescent="0.25">
      <c r="B146" s="111" t="s">
        <v>132</v>
      </c>
      <c r="C146" s="82">
        <v>25.213393</v>
      </c>
      <c r="D146" s="82">
        <v>24.894425999999999</v>
      </c>
      <c r="E146" s="82">
        <v>25.303867</v>
      </c>
      <c r="F146" s="82">
        <v>25.312529999999999</v>
      </c>
      <c r="G146" s="82">
        <v>24.949427</v>
      </c>
      <c r="H146" s="82">
        <v>35.821806000000002</v>
      </c>
      <c r="I146" s="82">
        <v>38.191972999999997</v>
      </c>
      <c r="J146" s="82">
        <v>37.693522999999999</v>
      </c>
      <c r="K146" s="82">
        <v>38.109870000000001</v>
      </c>
      <c r="L146" s="82">
        <v>37.076118000000001</v>
      </c>
      <c r="M146" s="82">
        <v>38.139252999999997</v>
      </c>
      <c r="N146" s="82">
        <v>41.062649</v>
      </c>
      <c r="O146" s="82">
        <v>43.022264999999997</v>
      </c>
      <c r="P146" s="182">
        <f>1.02*O146+50*S70*19%/10^6</f>
        <v>46.658742607731959</v>
      </c>
      <c r="Q146" s="182">
        <f t="shared" ref="Q146:S146" si="60">1.05*P146</f>
        <v>48.991679738118556</v>
      </c>
      <c r="R146" s="182">
        <f t="shared" si="60"/>
        <v>51.441263725024484</v>
      </c>
      <c r="S146" s="182">
        <f t="shared" si="60"/>
        <v>54.013326911275712</v>
      </c>
      <c r="T146" s="188"/>
      <c r="U146" s="48"/>
      <c r="Z146" s="119" t="s">
        <v>192</v>
      </c>
      <c r="AA146" s="117">
        <v>45657</v>
      </c>
      <c r="AB146" s="117">
        <v>46022</v>
      </c>
      <c r="AD146" s="119" t="s">
        <v>192</v>
      </c>
      <c r="AE146" s="117">
        <v>45657</v>
      </c>
      <c r="AF146" s="117">
        <v>46022</v>
      </c>
      <c r="AG146" s="117" t="s">
        <v>195</v>
      </c>
    </row>
    <row r="147" spans="2:33" x14ac:dyDescent="0.25">
      <c r="B147" s="111" t="s">
        <v>256</v>
      </c>
      <c r="C147" s="82">
        <v>17.974164999999999</v>
      </c>
      <c r="D147" s="82">
        <v>16.231445000000001</v>
      </c>
      <c r="E147" s="82">
        <v>17.657019999999999</v>
      </c>
      <c r="F147" s="82">
        <v>16.960588000000001</v>
      </c>
      <c r="G147" s="82">
        <v>11.217504</v>
      </c>
      <c r="H147" s="82">
        <v>9.7708860000000008</v>
      </c>
      <c r="I147" s="82">
        <v>9.8276889999999995</v>
      </c>
      <c r="J147" s="82">
        <v>6.9008440000000002</v>
      </c>
      <c r="K147" s="82">
        <v>4.1779599999999997</v>
      </c>
      <c r="L147" s="82">
        <v>4.1253859999999998</v>
      </c>
      <c r="M147" s="82">
        <v>4.1254169999999997</v>
      </c>
      <c r="N147" s="82">
        <v>6.9832450000000001</v>
      </c>
      <c r="O147" s="82">
        <v>8.4835609999999999</v>
      </c>
      <c r="P147" s="182">
        <f>O147</f>
        <v>8.4835609999999999</v>
      </c>
      <c r="Q147" s="182">
        <f t="shared" ref="Q147:S148" si="61">P147</f>
        <v>8.4835609999999999</v>
      </c>
      <c r="R147" s="182">
        <f t="shared" si="61"/>
        <v>8.4835609999999999</v>
      </c>
      <c r="S147" s="182">
        <f t="shared" si="61"/>
        <v>8.4835609999999999</v>
      </c>
      <c r="T147" s="186"/>
      <c r="U147" s="48"/>
      <c r="Z147" s="113" t="s">
        <v>175</v>
      </c>
      <c r="AA147" s="120">
        <v>14835773</v>
      </c>
      <c r="AB147" s="120">
        <v>18191457</v>
      </c>
      <c r="AD147" s="58" t="s">
        <v>268</v>
      </c>
      <c r="AE147" s="120">
        <v>10000</v>
      </c>
      <c r="AF147" s="120">
        <v>7543</v>
      </c>
      <c r="AG147" s="123">
        <v>1.49E-2</v>
      </c>
    </row>
    <row r="148" spans="2:33" x14ac:dyDescent="0.25">
      <c r="B148" s="111" t="s">
        <v>150</v>
      </c>
      <c r="C148" s="82">
        <v>1.8355399999999999</v>
      </c>
      <c r="D148" s="82">
        <v>3.4225720000000002</v>
      </c>
      <c r="E148" s="82">
        <v>3.1804990000000002</v>
      </c>
      <c r="F148" s="82">
        <v>3.1850879999999999</v>
      </c>
      <c r="G148" s="82">
        <v>3.2262270000000002</v>
      </c>
      <c r="H148" s="82">
        <v>1.629937</v>
      </c>
      <c r="I148" s="82">
        <v>1.6128979999999999</v>
      </c>
      <c r="J148" s="82">
        <v>1.483001</v>
      </c>
      <c r="K148" s="82">
        <v>1.479587</v>
      </c>
      <c r="L148" s="82">
        <v>1.4257059999999999</v>
      </c>
      <c r="M148" s="82">
        <v>1.440706</v>
      </c>
      <c r="N148" s="82">
        <v>1.480856</v>
      </c>
      <c r="O148" s="82">
        <v>1.4820660000000001</v>
      </c>
      <c r="P148" s="182">
        <f>O148</f>
        <v>1.4820660000000001</v>
      </c>
      <c r="Q148" s="182">
        <f t="shared" si="61"/>
        <v>1.4820660000000001</v>
      </c>
      <c r="R148" s="182">
        <f t="shared" si="61"/>
        <v>1.4820660000000001</v>
      </c>
      <c r="S148" s="182">
        <f t="shared" si="61"/>
        <v>1.4820660000000001</v>
      </c>
      <c r="T148" s="186"/>
      <c r="U148" s="48"/>
      <c r="Z148" s="113" t="s">
        <v>176</v>
      </c>
      <c r="AA148" s="120">
        <v>3914720</v>
      </c>
      <c r="AB148" s="120">
        <v>3680462</v>
      </c>
      <c r="AD148" s="58" t="s">
        <v>196</v>
      </c>
      <c r="AE148" s="120">
        <v>1319064</v>
      </c>
      <c r="AF148" s="120">
        <v>1319064</v>
      </c>
      <c r="AG148" s="123">
        <v>7.4999999999999997E-2</v>
      </c>
    </row>
    <row r="149" spans="2:33" x14ac:dyDescent="0.25">
      <c r="B149" s="111" t="s">
        <v>133</v>
      </c>
      <c r="C149" s="82">
        <v>44.142997000000001</v>
      </c>
      <c r="D149" s="82">
        <v>36.330120999999998</v>
      </c>
      <c r="E149" s="82">
        <v>35.752643999999997</v>
      </c>
      <c r="F149" s="82">
        <v>34.791952000000002</v>
      </c>
      <c r="G149" s="82">
        <v>34.386254999999998</v>
      </c>
      <c r="H149" s="82">
        <v>35.384208000000001</v>
      </c>
      <c r="I149" s="82">
        <v>35.265937999999998</v>
      </c>
      <c r="J149" s="82">
        <v>36.765445</v>
      </c>
      <c r="K149" s="82">
        <v>36.130294999999997</v>
      </c>
      <c r="L149" s="82">
        <v>35.894258999999998</v>
      </c>
      <c r="M149" s="82">
        <v>35.156556000000002</v>
      </c>
      <c r="N149" s="82">
        <v>34.502651999999998</v>
      </c>
      <c r="O149" s="82">
        <v>32.517164999999999</v>
      </c>
      <c r="P149" s="182">
        <f>+O149</f>
        <v>32.517164999999999</v>
      </c>
      <c r="Q149" s="182">
        <f t="shared" ref="Q149:S149" si="62">+P149</f>
        <v>32.517164999999999</v>
      </c>
      <c r="R149" s="182">
        <f t="shared" si="62"/>
        <v>32.517164999999999</v>
      </c>
      <c r="S149" s="182">
        <f t="shared" si="62"/>
        <v>32.517164999999999</v>
      </c>
      <c r="T149" s="186"/>
      <c r="U149" s="48"/>
      <c r="Z149" s="113" t="s">
        <v>177</v>
      </c>
      <c r="AA149" s="120">
        <v>5946183</v>
      </c>
      <c r="AB149" s="120">
        <v>4460173</v>
      </c>
      <c r="AD149" s="122" t="s">
        <v>197</v>
      </c>
      <c r="AE149" s="121">
        <f>+SUM(AE147:AE148)</f>
        <v>1329064</v>
      </c>
      <c r="AF149" s="121">
        <f>+SUM(AF147:AF148)</f>
        <v>1326607</v>
      </c>
    </row>
    <row r="150" spans="2:33" x14ac:dyDescent="0.25">
      <c r="B150" s="56" t="s">
        <v>134</v>
      </c>
      <c r="C150" s="82">
        <v>5.0000000000000001E-4</v>
      </c>
      <c r="D150" s="82">
        <v>2.5000000000000001E-4</v>
      </c>
      <c r="E150" s="82">
        <v>0</v>
      </c>
      <c r="F150" s="82">
        <v>0</v>
      </c>
      <c r="G150" s="82">
        <v>0</v>
      </c>
      <c r="H150" s="82">
        <v>3.6999999999999998E-2</v>
      </c>
      <c r="I150" s="82">
        <v>-9.9999999999999995E-7</v>
      </c>
      <c r="J150" s="82">
        <v>0</v>
      </c>
      <c r="K150" s="82">
        <v>7.0799999999999997E-4</v>
      </c>
      <c r="L150" s="82">
        <v>0</v>
      </c>
      <c r="M150" s="82">
        <v>0</v>
      </c>
      <c r="N150" s="82">
        <v>0</v>
      </c>
      <c r="O150" s="82">
        <v>0</v>
      </c>
      <c r="P150" s="182">
        <v>0</v>
      </c>
      <c r="Q150" s="182">
        <v>0</v>
      </c>
      <c r="R150" s="182">
        <v>0</v>
      </c>
      <c r="S150" s="182">
        <v>0</v>
      </c>
      <c r="T150" s="186"/>
      <c r="U150" s="48"/>
      <c r="Z150" s="113" t="s">
        <v>178</v>
      </c>
      <c r="AA150" s="120">
        <v>283762</v>
      </c>
      <c r="AB150" s="120">
        <v>122524</v>
      </c>
      <c r="AD150" s="58" t="s">
        <v>198</v>
      </c>
      <c r="AE150" s="120">
        <v>151791</v>
      </c>
      <c r="AF150" s="120">
        <v>155459</v>
      </c>
    </row>
    <row r="151" spans="2:33" ht="18" x14ac:dyDescent="0.25">
      <c r="B151" s="20" t="s">
        <v>17</v>
      </c>
      <c r="C151" s="50">
        <f t="shared" ref="C151:J151" si="63">SUM(C143:C150)</f>
        <v>95.560067000000004</v>
      </c>
      <c r="D151" s="50">
        <f t="shared" si="63"/>
        <v>87.202237999999994</v>
      </c>
      <c r="E151" s="50">
        <f t="shared" si="63"/>
        <v>88.252832999999981</v>
      </c>
      <c r="F151" s="50">
        <f t="shared" si="63"/>
        <v>86.521338</v>
      </c>
      <c r="G151" s="50">
        <f t="shared" si="63"/>
        <v>79.984871999999996</v>
      </c>
      <c r="H151" s="50">
        <f t="shared" si="63"/>
        <v>83.748666000000014</v>
      </c>
      <c r="I151" s="50">
        <f t="shared" si="63"/>
        <v>87.906690999999995</v>
      </c>
      <c r="J151" s="50">
        <f t="shared" si="63"/>
        <v>85.970179999999999</v>
      </c>
      <c r="K151" s="50">
        <f>SUM(K143:K150)</f>
        <v>82.790628999999996</v>
      </c>
      <c r="L151" s="50">
        <f>SUM(L143:L150)</f>
        <v>81.197215999999997</v>
      </c>
      <c r="M151" s="50">
        <f>SUM(M143:M150)</f>
        <v>81.434021000000001</v>
      </c>
      <c r="N151" s="50">
        <f>SUM(N143:N150)</f>
        <v>86.204986000000005</v>
      </c>
      <c r="O151" s="50">
        <f>SUM(O143:O150)</f>
        <v>87.313997000000001</v>
      </c>
      <c r="P151" s="179">
        <f t="shared" ref="P151:S151" si="64">SUM(P143:P150)</f>
        <v>91.070474607731967</v>
      </c>
      <c r="Q151" s="179">
        <f t="shared" si="64"/>
        <v>93.523411738118568</v>
      </c>
      <c r="R151" s="179">
        <f t="shared" si="64"/>
        <v>96.09299572502448</v>
      </c>
      <c r="S151" s="179">
        <f t="shared" si="64"/>
        <v>98.785058911275712</v>
      </c>
      <c r="T151" s="186"/>
      <c r="U151" s="48"/>
      <c r="Z151" s="113" t="s">
        <v>179</v>
      </c>
      <c r="AA151" s="120">
        <v>90597</v>
      </c>
      <c r="AB151" s="120">
        <v>86572</v>
      </c>
      <c r="AD151" s="122" t="s">
        <v>199</v>
      </c>
      <c r="AE151" s="121">
        <f>+AE150</f>
        <v>151791</v>
      </c>
      <c r="AF151" s="121">
        <f>+AF150</f>
        <v>155459</v>
      </c>
    </row>
    <row r="152" spans="2:33" x14ac:dyDescent="0.25">
      <c r="B152" s="56" t="s">
        <v>135</v>
      </c>
      <c r="C152" s="82">
        <v>21.238721999999999</v>
      </c>
      <c r="D152" s="82">
        <v>16.528759000000001</v>
      </c>
      <c r="E152" s="82">
        <v>14.175148</v>
      </c>
      <c r="F152" s="82">
        <v>11.949887</v>
      </c>
      <c r="G152" s="82">
        <v>12.543229999999999</v>
      </c>
      <c r="H152" s="82">
        <v>13.679793999999999</v>
      </c>
      <c r="I152" s="82">
        <v>15.497159999999999</v>
      </c>
      <c r="J152" s="82">
        <v>20.919864</v>
      </c>
      <c r="K152" s="82">
        <v>13.964380999999999</v>
      </c>
      <c r="L152" s="82">
        <v>13.749017</v>
      </c>
      <c r="M152" s="82">
        <v>11.276600999999999</v>
      </c>
      <c r="N152" s="82">
        <v>17.711973</v>
      </c>
      <c r="O152" s="82">
        <v>18.717157</v>
      </c>
      <c r="P152" s="182">
        <f>+P131/365*-P97</f>
        <v>18.737953841111107</v>
      </c>
      <c r="Q152" s="182">
        <f>+Q131/365*-Q97*0.5</f>
        <v>18.571787080633335</v>
      </c>
      <c r="R152" s="182">
        <f>+R131/365*-R97*0.45</f>
        <v>21.683553114007804</v>
      </c>
      <c r="S152" s="182">
        <f>+S131/365*-S97*0.4</f>
        <v>25.96288232398858</v>
      </c>
      <c r="T152" s="188"/>
      <c r="U152" s="48"/>
      <c r="Z152" s="113" t="s">
        <v>180</v>
      </c>
      <c r="AA152" s="120">
        <v>761206</v>
      </c>
      <c r="AB152" s="120">
        <v>830506</v>
      </c>
      <c r="AD152" s="122" t="s">
        <v>200</v>
      </c>
      <c r="AE152" s="121">
        <f>+AE149+AE151</f>
        <v>1480855</v>
      </c>
      <c r="AF152" s="121">
        <f>+AF149+AF151</f>
        <v>1482066</v>
      </c>
    </row>
    <row r="153" spans="2:33" x14ac:dyDescent="0.25">
      <c r="B153" s="56" t="s">
        <v>149</v>
      </c>
      <c r="C153" s="82">
        <f>62.542696+0.004551</f>
        <v>62.547246999999999</v>
      </c>
      <c r="D153" s="82">
        <f>50.381207+0.000438</f>
        <v>50.381645000000006</v>
      </c>
      <c r="E153" s="82">
        <v>45.893934999999999</v>
      </c>
      <c r="F153" s="82">
        <v>45.068911999999997</v>
      </c>
      <c r="G153" s="82">
        <v>46.371071000000001</v>
      </c>
      <c r="H153" s="82">
        <v>41.075071000000001</v>
      </c>
      <c r="I153" s="82">
        <v>42.139400000000002</v>
      </c>
      <c r="J153" s="82">
        <v>34.949638999999998</v>
      </c>
      <c r="K153" s="82">
        <v>46.346746000000003</v>
      </c>
      <c r="L153" s="82">
        <v>46.267381</v>
      </c>
      <c r="M153" s="82">
        <v>50.278075999999999</v>
      </c>
      <c r="N153" s="82">
        <v>51.179009000000001</v>
      </c>
      <c r="O153" s="82">
        <v>57.751009000000003</v>
      </c>
      <c r="P153" s="182">
        <f>1.1*O153</f>
        <v>63.526109900000009</v>
      </c>
      <c r="Q153" s="182">
        <f t="shared" ref="Q153:S153" si="65">1.1*P153</f>
        <v>69.878720890000011</v>
      </c>
      <c r="R153" s="182">
        <f t="shared" si="65"/>
        <v>76.866592979000018</v>
      </c>
      <c r="S153" s="182">
        <f t="shared" si="65"/>
        <v>84.553252276900025</v>
      </c>
      <c r="T153" s="186"/>
      <c r="U153" s="48"/>
      <c r="Z153" s="113" t="s">
        <v>181</v>
      </c>
      <c r="AA153" s="120">
        <v>1145633</v>
      </c>
      <c r="AB153" s="120">
        <v>2089724</v>
      </c>
    </row>
    <row r="154" spans="2:33" x14ac:dyDescent="0.25">
      <c r="B154" s="56" t="s">
        <v>146</v>
      </c>
      <c r="C154" s="82">
        <v>1.6384179999999999</v>
      </c>
      <c r="D154" s="82">
        <v>0.66200000000000003</v>
      </c>
      <c r="E154" s="82">
        <v>0.94366000000000005</v>
      </c>
      <c r="F154" s="82">
        <v>0.89862799999999998</v>
      </c>
      <c r="G154" s="82">
        <v>1.081963</v>
      </c>
      <c r="H154" s="82">
        <v>1.6988559999999999</v>
      </c>
      <c r="I154" s="82">
        <v>1.1568499999999999</v>
      </c>
      <c r="J154" s="82">
        <v>1.1233649999999999</v>
      </c>
      <c r="K154" s="82">
        <v>1.5893440000000001</v>
      </c>
      <c r="L154" s="82">
        <v>1.0139720000000001</v>
      </c>
      <c r="M154" s="82">
        <v>1.3310489999999999</v>
      </c>
      <c r="N154" s="82">
        <v>2.9190900000000002</v>
      </c>
      <c r="O154" s="82">
        <v>2.5345629999999999</v>
      </c>
      <c r="P154" s="182">
        <f>(P90*(P132/365))</f>
        <v>2.4665476022584341</v>
      </c>
      <c r="Q154" s="182">
        <f t="shared" ref="Q154:S154" si="66">(Q90*(Q132/365))</f>
        <v>4.234840698382186</v>
      </c>
      <c r="R154" s="182">
        <f t="shared" si="66"/>
        <v>5.3294195062381595</v>
      </c>
      <c r="S154" s="182">
        <f t="shared" si="66"/>
        <v>6.9142470751028089</v>
      </c>
      <c r="T154" s="188"/>
      <c r="U154" s="48"/>
      <c r="Z154" s="113" t="s">
        <v>182</v>
      </c>
      <c r="AA154" s="120">
        <v>751693</v>
      </c>
      <c r="AB154" s="120">
        <v>1651377</v>
      </c>
    </row>
    <row r="155" spans="2:33" x14ac:dyDescent="0.25">
      <c r="B155" s="56" t="s">
        <v>266</v>
      </c>
      <c r="C155" s="82">
        <v>0</v>
      </c>
      <c r="D155" s="82">
        <v>0</v>
      </c>
      <c r="E155" s="82">
        <v>0</v>
      </c>
      <c r="F155" s="82">
        <v>0</v>
      </c>
      <c r="G155" s="82">
        <v>0</v>
      </c>
      <c r="H155" s="82">
        <v>0</v>
      </c>
      <c r="I155" s="82">
        <v>0</v>
      </c>
      <c r="J155" s="82">
        <v>0</v>
      </c>
      <c r="K155" s="82">
        <v>0</v>
      </c>
      <c r="L155" s="82">
        <v>0</v>
      </c>
      <c r="M155" s="82">
        <v>0</v>
      </c>
      <c r="N155" s="82">
        <v>1.941E-3</v>
      </c>
      <c r="O155" s="82">
        <v>1.941E-3</v>
      </c>
      <c r="P155" s="182">
        <f>+O155</f>
        <v>1.941E-3</v>
      </c>
      <c r="Q155" s="182">
        <f t="shared" ref="Q155:S155" si="67">+P155</f>
        <v>1.941E-3</v>
      </c>
      <c r="R155" s="182">
        <f t="shared" si="67"/>
        <v>1.941E-3</v>
      </c>
      <c r="S155" s="182">
        <f t="shared" si="67"/>
        <v>1.941E-3</v>
      </c>
      <c r="T155" s="186"/>
      <c r="U155" s="48"/>
      <c r="Z155" s="113" t="s">
        <v>183</v>
      </c>
      <c r="AA155" s="120">
        <v>4395158</v>
      </c>
      <c r="AB155" s="120">
        <v>4791933</v>
      </c>
    </row>
    <row r="156" spans="2:33" x14ac:dyDescent="0.25">
      <c r="B156" s="56" t="s">
        <v>136</v>
      </c>
      <c r="C156" s="82">
        <v>1.052457</v>
      </c>
      <c r="D156" s="82">
        <v>1.750874</v>
      </c>
      <c r="E156" s="82">
        <v>1.6040190000000001</v>
      </c>
      <c r="F156" s="82">
        <v>3.331299</v>
      </c>
      <c r="G156" s="82">
        <v>5.7396539999999998</v>
      </c>
      <c r="H156" s="82">
        <v>5.4052889999999998</v>
      </c>
      <c r="I156" s="82">
        <v>9.5070549999999994</v>
      </c>
      <c r="J156" s="82">
        <v>10.094937</v>
      </c>
      <c r="K156" s="82">
        <v>7.5153840000000001</v>
      </c>
      <c r="L156" s="82">
        <v>5.7614419999999997</v>
      </c>
      <c r="M156" s="82">
        <v>3.9030309999999999</v>
      </c>
      <c r="N156" s="82">
        <v>3.5510969999999999</v>
      </c>
      <c r="O156" s="82">
        <v>4.5624669999999998</v>
      </c>
      <c r="P156" s="182">
        <f t="shared" ref="P156:S156" si="68">P232</f>
        <v>4.5454598457650111</v>
      </c>
      <c r="Q156" s="182">
        <f t="shared" si="68"/>
        <v>14.395207048612219</v>
      </c>
      <c r="R156" s="182">
        <f t="shared" si="68"/>
        <v>19.289061461361296</v>
      </c>
      <c r="S156" s="182">
        <f t="shared" si="68"/>
        <v>23.520635991594446</v>
      </c>
      <c r="T156" s="186"/>
      <c r="U156" s="48"/>
      <c r="Z156" s="113" t="s">
        <v>184</v>
      </c>
      <c r="AA156" s="120">
        <v>2714279</v>
      </c>
      <c r="AB156" s="120">
        <v>3993048</v>
      </c>
    </row>
    <row r="157" spans="2:33" ht="18" x14ac:dyDescent="0.25">
      <c r="B157" s="20" t="s">
        <v>19</v>
      </c>
      <c r="C157" s="50">
        <f t="shared" ref="C157:H157" si="69">SUM(C152:C156)</f>
        <v>86.476844</v>
      </c>
      <c r="D157" s="50">
        <f t="shared" si="69"/>
        <v>69.323278000000002</v>
      </c>
      <c r="E157" s="50">
        <f t="shared" si="69"/>
        <v>62.616762000000001</v>
      </c>
      <c r="F157" s="50">
        <f t="shared" si="69"/>
        <v>61.248726000000005</v>
      </c>
      <c r="G157" s="50">
        <f t="shared" si="69"/>
        <v>65.735917999999998</v>
      </c>
      <c r="H157" s="50">
        <f t="shared" si="69"/>
        <v>61.859009999999998</v>
      </c>
      <c r="I157" s="50">
        <f t="shared" ref="I157:J157" si="70">SUM(I152:I156)</f>
        <v>68.300465000000003</v>
      </c>
      <c r="J157" s="50">
        <f t="shared" si="70"/>
        <v>67.087804999999989</v>
      </c>
      <c r="K157" s="50">
        <f>SUM(K152:K156)</f>
        <v>69.415854999999993</v>
      </c>
      <c r="L157" s="50">
        <f>SUM(L152:L156)</f>
        <v>66.791812000000007</v>
      </c>
      <c r="M157" s="50">
        <f>SUM(M152:M156)</f>
        <v>66.788757000000004</v>
      </c>
      <c r="N157" s="50">
        <f>SUM(N152:N156)</f>
        <v>75.363110000000006</v>
      </c>
      <c r="O157" s="50">
        <f>SUM(O152:O156)</f>
        <v>83.567137000000002</v>
      </c>
      <c r="P157" s="183">
        <f t="shared" ref="P157:S157" si="71">SUM(P152:P156)</f>
        <v>89.278012189134557</v>
      </c>
      <c r="Q157" s="183">
        <f t="shared" si="71"/>
        <v>107.08249671762775</v>
      </c>
      <c r="R157" s="183">
        <f t="shared" si="71"/>
        <v>123.17056806060728</v>
      </c>
      <c r="S157" s="183">
        <f t="shared" si="71"/>
        <v>140.95295866758585</v>
      </c>
      <c r="T157" s="181"/>
      <c r="U157" s="48"/>
      <c r="Z157" s="113" t="s">
        <v>185</v>
      </c>
      <c r="AA157" s="120">
        <v>8066460</v>
      </c>
      <c r="AB157" s="120">
        <v>9263909</v>
      </c>
    </row>
    <row r="158" spans="2:33" x14ac:dyDescent="0.25">
      <c r="B158" s="56"/>
      <c r="C158" s="82"/>
      <c r="D158" s="82"/>
      <c r="E158" s="82"/>
      <c r="F158" s="82"/>
      <c r="G158" s="82"/>
      <c r="H158" s="82"/>
      <c r="I158" s="82"/>
      <c r="J158" s="50"/>
      <c r="K158" s="82"/>
      <c r="L158" s="82"/>
      <c r="M158" s="82"/>
      <c r="N158" s="82"/>
      <c r="O158" s="82"/>
      <c r="P158" s="182"/>
      <c r="Q158" s="182"/>
      <c r="R158" s="182"/>
      <c r="S158" s="182"/>
      <c r="T158" s="187"/>
      <c r="U158" s="48"/>
      <c r="Z158" s="113" t="s">
        <v>186</v>
      </c>
      <c r="AA158" s="120">
        <v>3535139</v>
      </c>
      <c r="AB158" s="120">
        <v>2848998</v>
      </c>
    </row>
    <row r="159" spans="2:33" ht="18" x14ac:dyDescent="0.25">
      <c r="B159" s="20" t="s">
        <v>20</v>
      </c>
      <c r="C159" s="50">
        <f t="shared" ref="C159:J159" si="72">C151+C157</f>
        <v>182.036911</v>
      </c>
      <c r="D159" s="50">
        <f t="shared" si="72"/>
        <v>156.52551599999998</v>
      </c>
      <c r="E159" s="50">
        <f t="shared" si="72"/>
        <v>150.86959499999998</v>
      </c>
      <c r="F159" s="50">
        <f t="shared" si="72"/>
        <v>147.77006399999999</v>
      </c>
      <c r="G159" s="50">
        <f t="shared" si="72"/>
        <v>145.72078999999999</v>
      </c>
      <c r="H159" s="50">
        <f t="shared" si="72"/>
        <v>145.60767600000003</v>
      </c>
      <c r="I159" s="50">
        <f t="shared" si="72"/>
        <v>156.207156</v>
      </c>
      <c r="J159" s="50">
        <f t="shared" si="72"/>
        <v>153.05798499999997</v>
      </c>
      <c r="K159" s="50">
        <f>K151+K157</f>
        <v>152.20648399999999</v>
      </c>
      <c r="L159" s="50">
        <f>L151+L157</f>
        <v>147.98902800000002</v>
      </c>
      <c r="M159" s="50">
        <f>M151+M157</f>
        <v>148.22277800000001</v>
      </c>
      <c r="N159" s="50">
        <f>N151+N157</f>
        <v>161.56809600000003</v>
      </c>
      <c r="O159" s="50">
        <f>O151+O157</f>
        <v>170.881134</v>
      </c>
      <c r="P159" s="183">
        <f t="shared" ref="P159:S159" si="73">P151+P157</f>
        <v>180.34848679686652</v>
      </c>
      <c r="Q159" s="183">
        <f t="shared" si="73"/>
        <v>200.60590845574632</v>
      </c>
      <c r="R159" s="183">
        <f t="shared" si="73"/>
        <v>219.26356378563176</v>
      </c>
      <c r="S159" s="183">
        <f t="shared" si="73"/>
        <v>239.73801757886156</v>
      </c>
      <c r="T159" s="90"/>
      <c r="U159" s="48"/>
      <c r="Z159" s="114" t="s">
        <v>187</v>
      </c>
      <c r="AA159" s="120">
        <v>328201</v>
      </c>
      <c r="AB159" s="120">
        <v>576343</v>
      </c>
    </row>
    <row r="160" spans="2:33" ht="18.75" x14ac:dyDescent="0.4">
      <c r="B160" s="2"/>
      <c r="C160" s="2"/>
      <c r="D160" s="2"/>
      <c r="E160" s="2"/>
      <c r="F160" s="2"/>
      <c r="G160" s="2"/>
      <c r="H160" s="2"/>
      <c r="I160" s="2"/>
      <c r="J160" s="2"/>
      <c r="K160" s="2"/>
      <c r="L160" s="2"/>
      <c r="M160" s="2"/>
      <c r="N160" s="2"/>
      <c r="O160" s="2"/>
      <c r="P160" s="184"/>
      <c r="Q160" s="184"/>
      <c r="R160" s="184"/>
      <c r="S160" s="184"/>
      <c r="T160" s="67"/>
      <c r="Z160" s="116" t="s">
        <v>188</v>
      </c>
      <c r="AA160" s="121">
        <f>+SUM(AA147:AA159)</f>
        <v>46768804</v>
      </c>
      <c r="AB160" s="121">
        <f>+SUM(AB147:AB159)</f>
        <v>52587026</v>
      </c>
    </row>
    <row r="161" spans="2:28" ht="18" x14ac:dyDescent="0.25">
      <c r="B161" s="20" t="s">
        <v>21</v>
      </c>
      <c r="C161" s="46"/>
      <c r="D161" s="46"/>
      <c r="E161" s="46"/>
      <c r="F161" s="46"/>
      <c r="G161" s="46"/>
      <c r="H161" s="46"/>
      <c r="I161" s="46"/>
      <c r="J161" s="46"/>
      <c r="K161" s="46"/>
      <c r="L161" s="46"/>
      <c r="M161" s="46"/>
      <c r="N161" s="46"/>
      <c r="O161" s="46"/>
      <c r="P161" s="183"/>
      <c r="Q161" s="183"/>
      <c r="R161" s="183"/>
      <c r="S161" s="183"/>
      <c r="T161" s="67"/>
      <c r="Z161" s="115" t="s">
        <v>189</v>
      </c>
      <c r="AA161" s="120">
        <v>4410205</v>
      </c>
      <c r="AB161" s="120">
        <v>5163983</v>
      </c>
    </row>
    <row r="162" spans="2:28" x14ac:dyDescent="0.25">
      <c r="B162" s="56" t="s">
        <v>137</v>
      </c>
      <c r="C162" s="82">
        <v>10.957219</v>
      </c>
      <c r="D162" s="82">
        <v>10.957219</v>
      </c>
      <c r="E162" s="82">
        <v>10.957219</v>
      </c>
      <c r="F162" s="82">
        <v>10.957219</v>
      </c>
      <c r="G162" s="82">
        <v>10.957219</v>
      </c>
      <c r="H162" s="82">
        <v>10.957219</v>
      </c>
      <c r="I162" s="82">
        <v>10.957219</v>
      </c>
      <c r="J162" s="82">
        <v>10.957219</v>
      </c>
      <c r="K162" s="82">
        <v>10.957219</v>
      </c>
      <c r="L162" s="82">
        <v>10.957219</v>
      </c>
      <c r="M162" s="82">
        <v>10.957219</v>
      </c>
      <c r="N162" s="82">
        <v>10.957219</v>
      </c>
      <c r="O162" s="82">
        <v>10.957219</v>
      </c>
      <c r="P162" s="183"/>
      <c r="Q162" s="183"/>
      <c r="R162" s="183"/>
      <c r="S162" s="183"/>
      <c r="T162" s="67"/>
      <c r="Z162" s="116" t="s">
        <v>190</v>
      </c>
      <c r="AA162" s="121">
        <f>+SUM(AA160:AA161)</f>
        <v>51179009</v>
      </c>
      <c r="AB162" s="121">
        <f>+SUM(AB160:AB161)</f>
        <v>57751009</v>
      </c>
    </row>
    <row r="163" spans="2:28" x14ac:dyDescent="0.25">
      <c r="B163" s="56" t="s">
        <v>138</v>
      </c>
      <c r="C163" s="82">
        <v>108.630043</v>
      </c>
      <c r="D163" s="82">
        <v>108.630043</v>
      </c>
      <c r="E163" s="82">
        <v>108.630043</v>
      </c>
      <c r="F163" s="82">
        <v>108.630043</v>
      </c>
      <c r="G163" s="82">
        <v>108.630043</v>
      </c>
      <c r="H163" s="82">
        <v>108.630043</v>
      </c>
      <c r="I163" s="82">
        <v>108.630043</v>
      </c>
      <c r="J163" s="82">
        <v>108.630043</v>
      </c>
      <c r="K163" s="82">
        <v>108.113906</v>
      </c>
      <c r="L163" s="82">
        <v>108.113906</v>
      </c>
      <c r="M163" s="82">
        <v>108.113906</v>
      </c>
      <c r="N163" s="82">
        <v>108.113906</v>
      </c>
      <c r="O163" s="82">
        <v>108.113906</v>
      </c>
      <c r="P163" s="183"/>
      <c r="Q163" s="183"/>
      <c r="R163" s="183"/>
      <c r="S163" s="183"/>
      <c r="T163" s="67"/>
    </row>
    <row r="164" spans="2:28" x14ac:dyDescent="0.25">
      <c r="B164" s="56" t="s">
        <v>139</v>
      </c>
      <c r="C164" s="82">
        <v>21.971322000000001</v>
      </c>
      <c r="D164" s="82">
        <v>-25.383096999999999</v>
      </c>
      <c r="E164" s="82">
        <v>-24.838903999999999</v>
      </c>
      <c r="F164" s="82">
        <v>-24.255662999999998</v>
      </c>
      <c r="G164" s="82">
        <v>-27.032233000000002</v>
      </c>
      <c r="H164" s="82">
        <v>-21.500636</v>
      </c>
      <c r="I164" s="82">
        <v>-18.247395000000001</v>
      </c>
      <c r="J164" s="82">
        <v>-21.867699000000002</v>
      </c>
      <c r="K164" s="82">
        <v>-23.174709</v>
      </c>
      <c r="L164" s="82">
        <v>-22.900924</v>
      </c>
      <c r="M164" s="82">
        <v>-20.908808000000001</v>
      </c>
      <c r="N164" s="82">
        <v>-20.400224999999999</v>
      </c>
      <c r="O164" s="82">
        <v>-14.631895999999999</v>
      </c>
      <c r="P164" s="183"/>
      <c r="Q164" s="183"/>
      <c r="R164" s="183"/>
      <c r="S164" s="183"/>
      <c r="T164" s="67"/>
    </row>
    <row r="165" spans="2:28" x14ac:dyDescent="0.25">
      <c r="B165" s="56" t="s">
        <v>140</v>
      </c>
      <c r="C165" s="82">
        <v>-48.627409</v>
      </c>
      <c r="D165" s="82">
        <v>0.67366599999999999</v>
      </c>
      <c r="E165" s="82">
        <v>1.16438</v>
      </c>
      <c r="F165" s="82">
        <v>0.92378400000000005</v>
      </c>
      <c r="G165" s="82">
        <v>0.32691199999999998</v>
      </c>
      <c r="H165" s="82">
        <v>0.13742399999999999</v>
      </c>
      <c r="I165" s="82">
        <v>1.05705</v>
      </c>
      <c r="J165" s="82">
        <v>-3.6029529999999999</v>
      </c>
      <c r="K165" s="82">
        <v>1.213776</v>
      </c>
      <c r="L165" s="82">
        <v>1.4979119999999999</v>
      </c>
      <c r="M165" s="82">
        <v>2.3067090000000001</v>
      </c>
      <c r="N165" s="82">
        <v>2.7932290000000002</v>
      </c>
      <c r="O165" s="82">
        <v>4.5471880000000002</v>
      </c>
      <c r="P165" s="183"/>
      <c r="Q165" s="183"/>
      <c r="R165" s="183"/>
      <c r="S165" s="183"/>
      <c r="T165" s="67"/>
    </row>
    <row r="166" spans="2:28" x14ac:dyDescent="0.25">
      <c r="B166" s="56" t="s">
        <v>248</v>
      </c>
      <c r="C166" s="82">
        <v>0.174873</v>
      </c>
      <c r="D166" s="82">
        <v>1.8447000000000002E-2</v>
      </c>
      <c r="E166" s="82">
        <v>1.361E-3</v>
      </c>
      <c r="F166" s="82">
        <v>0</v>
      </c>
      <c r="G166" s="82">
        <v>0</v>
      </c>
      <c r="H166" s="82">
        <v>0</v>
      </c>
      <c r="I166" s="82">
        <v>0</v>
      </c>
      <c r="J166" s="82">
        <v>0</v>
      </c>
      <c r="K166" s="82">
        <v>0</v>
      </c>
      <c r="L166" s="82">
        <v>0</v>
      </c>
      <c r="M166" s="82">
        <v>0</v>
      </c>
      <c r="N166" s="82">
        <v>0</v>
      </c>
      <c r="O166" s="82">
        <v>0</v>
      </c>
      <c r="P166" s="183"/>
      <c r="Q166" s="183"/>
      <c r="R166" s="183"/>
      <c r="S166" s="183"/>
      <c r="T166" s="67"/>
    </row>
    <row r="167" spans="2:28" x14ac:dyDescent="0.25">
      <c r="B167" s="56" t="s">
        <v>141</v>
      </c>
      <c r="C167" s="82">
        <v>-6.6089200000000003</v>
      </c>
      <c r="D167" s="82">
        <v>-6.5788359999999999</v>
      </c>
      <c r="E167" s="82">
        <v>-6.5227870000000001</v>
      </c>
      <c r="F167" s="82">
        <v>-6.4713370000000001</v>
      </c>
      <c r="G167" s="82">
        <v>-6.3802779999999997</v>
      </c>
      <c r="H167" s="82">
        <v>-6.3519690000000004</v>
      </c>
      <c r="I167" s="82">
        <v>-6.3015470000000002</v>
      </c>
      <c r="J167" s="82">
        <v>-6.2490430000000003</v>
      </c>
      <c r="K167" s="82">
        <v>-5.15029</v>
      </c>
      <c r="L167" s="82">
        <v>-4.904827</v>
      </c>
      <c r="M167" s="82">
        <v>-4.4997910000000001</v>
      </c>
      <c r="N167" s="82">
        <v>-4.1299489999999999</v>
      </c>
      <c r="O167" s="82">
        <v>-3.869923</v>
      </c>
      <c r="P167" s="183"/>
      <c r="Q167" s="183"/>
      <c r="R167" s="183"/>
      <c r="S167" s="183"/>
      <c r="T167" s="67"/>
    </row>
    <row r="168" spans="2:28" x14ac:dyDescent="0.25">
      <c r="B168" s="56" t="s">
        <v>242</v>
      </c>
      <c r="C168" s="82">
        <v>13.507172000000001</v>
      </c>
      <c r="D168" s="82">
        <v>5.6718339999999996</v>
      </c>
      <c r="E168" s="82">
        <v>6.3636869999999996</v>
      </c>
      <c r="F168" s="82">
        <v>5.8854889999999997</v>
      </c>
      <c r="G168" s="82">
        <v>7.2029839999999998</v>
      </c>
      <c r="H168" s="82">
        <v>0</v>
      </c>
      <c r="I168" s="82">
        <v>0</v>
      </c>
      <c r="J168" s="82">
        <v>0</v>
      </c>
      <c r="K168" s="82">
        <v>0</v>
      </c>
      <c r="L168" s="82">
        <v>0</v>
      </c>
      <c r="M168" s="82">
        <v>0</v>
      </c>
      <c r="N168" s="82">
        <v>0</v>
      </c>
      <c r="O168" s="82">
        <v>0</v>
      </c>
      <c r="P168" s="183"/>
      <c r="Q168" s="183"/>
      <c r="R168" s="183"/>
      <c r="S168" s="183"/>
      <c r="T168" s="67"/>
    </row>
    <row r="169" spans="2:28" x14ac:dyDescent="0.25">
      <c r="B169" s="56" t="s">
        <v>142</v>
      </c>
      <c r="C169" s="82">
        <v>0</v>
      </c>
      <c r="D169" s="82">
        <v>0</v>
      </c>
      <c r="E169" s="82">
        <v>0</v>
      </c>
      <c r="F169" s="82">
        <v>0</v>
      </c>
      <c r="G169" s="82">
        <v>0</v>
      </c>
      <c r="H169" s="82">
        <v>0</v>
      </c>
      <c r="I169" s="82">
        <v>0</v>
      </c>
      <c r="J169" s="82">
        <v>0</v>
      </c>
      <c r="K169" s="82">
        <v>-0.42239700000000002</v>
      </c>
      <c r="L169" s="82">
        <v>-0.42144900000000002</v>
      </c>
      <c r="M169" s="82">
        <v>-0.422763</v>
      </c>
      <c r="N169" s="82">
        <v>-0.42290100000000003</v>
      </c>
      <c r="O169" s="82">
        <v>-0.424987</v>
      </c>
      <c r="P169" s="183"/>
      <c r="Q169" s="183"/>
      <c r="R169" s="183"/>
      <c r="S169" s="183"/>
      <c r="T169" s="67"/>
    </row>
    <row r="170" spans="2:28" ht="18" x14ac:dyDescent="0.25">
      <c r="B170" s="20" t="s">
        <v>57</v>
      </c>
      <c r="C170" s="84">
        <f t="shared" ref="C170:I170" si="74">SUM(C162:C169)</f>
        <v>100.0043</v>
      </c>
      <c r="D170" s="84">
        <f t="shared" si="74"/>
        <v>93.98927599999999</v>
      </c>
      <c r="E170" s="84">
        <f t="shared" si="74"/>
        <v>95.754998999999998</v>
      </c>
      <c r="F170" s="84">
        <f t="shared" si="74"/>
        <v>95.669534999999996</v>
      </c>
      <c r="G170" s="84">
        <f t="shared" si="74"/>
        <v>93.70464699999998</v>
      </c>
      <c r="H170" s="84">
        <f t="shared" si="74"/>
        <v>91.872080999999994</v>
      </c>
      <c r="I170" s="84">
        <f t="shared" si="74"/>
        <v>96.095370000000003</v>
      </c>
      <c r="J170" s="84">
        <f t="shared" ref="J170:O170" si="75">SUM(J162:J169)</f>
        <v>87.867566999999994</v>
      </c>
      <c r="K170" s="84">
        <f t="shared" si="75"/>
        <v>91.537504999999982</v>
      </c>
      <c r="L170" s="84">
        <f t="shared" si="75"/>
        <v>92.341836999999998</v>
      </c>
      <c r="M170" s="84">
        <f t="shared" si="75"/>
        <v>95.546471999999994</v>
      </c>
      <c r="N170" s="84">
        <f t="shared" si="75"/>
        <v>96.911278999999993</v>
      </c>
      <c r="O170" s="84">
        <f t="shared" si="75"/>
        <v>104.691507</v>
      </c>
      <c r="P170" s="183">
        <f>O170+P120+P226+(P153-O153)</f>
        <v>114.14928505019986</v>
      </c>
      <c r="Q170" s="183">
        <f t="shared" ref="Q170:S170" si="76">P170+Q120+Q226+(Q153-P153)</f>
        <v>125.93286441414631</v>
      </c>
      <c r="R170" s="183">
        <f t="shared" si="76"/>
        <v>139.50680034156775</v>
      </c>
      <c r="S170" s="183">
        <f t="shared" si="76"/>
        <v>152.28275636481931</v>
      </c>
      <c r="T170" s="188"/>
      <c r="U170" s="48"/>
      <c r="V170" s="119" t="s">
        <v>192</v>
      </c>
      <c r="W170" s="117">
        <v>45657</v>
      </c>
      <c r="X170" s="117">
        <v>46022</v>
      </c>
    </row>
    <row r="171" spans="2:28" x14ac:dyDescent="0.25">
      <c r="B171" s="56" t="s">
        <v>62</v>
      </c>
      <c r="C171" s="82">
        <v>1.241662</v>
      </c>
      <c r="D171" s="82">
        <v>1.1059019999999999</v>
      </c>
      <c r="E171" s="82">
        <v>0</v>
      </c>
      <c r="F171" s="82">
        <v>0</v>
      </c>
      <c r="G171" s="82">
        <v>0</v>
      </c>
      <c r="H171" s="82">
        <v>0</v>
      </c>
      <c r="I171" s="82">
        <v>0</v>
      </c>
      <c r="J171" s="82">
        <v>0</v>
      </c>
      <c r="K171" s="82">
        <v>0</v>
      </c>
      <c r="L171" s="82">
        <v>0</v>
      </c>
      <c r="M171" s="82">
        <v>0</v>
      </c>
      <c r="N171" s="82">
        <v>8.61E-4</v>
      </c>
      <c r="O171" s="82">
        <v>-1.531E-3</v>
      </c>
      <c r="P171" s="182">
        <f>+O171</f>
        <v>-1.531E-3</v>
      </c>
      <c r="Q171" s="182">
        <f t="shared" ref="Q171:S171" si="77">+P171</f>
        <v>-1.531E-3</v>
      </c>
      <c r="R171" s="182">
        <f t="shared" si="77"/>
        <v>-1.531E-3</v>
      </c>
      <c r="S171" s="182">
        <f t="shared" si="77"/>
        <v>-1.531E-3</v>
      </c>
      <c r="T171" s="186"/>
      <c r="U171" s="48"/>
      <c r="V171" s="68" t="s">
        <v>193</v>
      </c>
      <c r="W171" s="120">
        <v>4065896</v>
      </c>
      <c r="X171" s="120">
        <v>5004520</v>
      </c>
    </row>
    <row r="172" spans="2:28" ht="18" x14ac:dyDescent="0.25">
      <c r="B172" s="20" t="s">
        <v>22</v>
      </c>
      <c r="C172" s="84">
        <f t="shared" ref="C172:J172" si="78">C170+C171</f>
        <v>101.24596200000001</v>
      </c>
      <c r="D172" s="84">
        <f t="shared" si="78"/>
        <v>95.09517799999999</v>
      </c>
      <c r="E172" s="84">
        <f t="shared" si="78"/>
        <v>95.754998999999998</v>
      </c>
      <c r="F172" s="84">
        <f t="shared" si="78"/>
        <v>95.669534999999996</v>
      </c>
      <c r="G172" s="84">
        <f t="shared" si="78"/>
        <v>93.70464699999998</v>
      </c>
      <c r="H172" s="84">
        <f t="shared" si="78"/>
        <v>91.872080999999994</v>
      </c>
      <c r="I172" s="84">
        <f t="shared" si="78"/>
        <v>96.095370000000003</v>
      </c>
      <c r="J172" s="84">
        <f t="shared" si="78"/>
        <v>87.867566999999994</v>
      </c>
      <c r="K172" s="84">
        <f>K170+K171</f>
        <v>91.537504999999982</v>
      </c>
      <c r="L172" s="84">
        <f>L170+L171</f>
        <v>92.341836999999998</v>
      </c>
      <c r="M172" s="84">
        <f>M170+M171</f>
        <v>95.546471999999994</v>
      </c>
      <c r="N172" s="84">
        <f>N170+N171</f>
        <v>96.912139999999994</v>
      </c>
      <c r="O172" s="84">
        <f>O170+O171</f>
        <v>104.689976</v>
      </c>
      <c r="P172" s="176">
        <f>+SUM(P170:P171)</f>
        <v>114.14775405019986</v>
      </c>
      <c r="Q172" s="176">
        <f t="shared" ref="Q172:S172" si="79">+SUM(Q170:Q171)</f>
        <v>125.93133341414631</v>
      </c>
      <c r="R172" s="176">
        <f t="shared" si="79"/>
        <v>139.50526934156775</v>
      </c>
      <c r="S172" s="176">
        <f t="shared" si="79"/>
        <v>152.28122536481931</v>
      </c>
      <c r="T172" s="186"/>
      <c r="U172" s="48"/>
      <c r="V172" s="58" t="s">
        <v>194</v>
      </c>
      <c r="W172" s="120">
        <v>344308</v>
      </c>
      <c r="X172" s="120">
        <v>159463</v>
      </c>
    </row>
    <row r="173" spans="2:28" x14ac:dyDescent="0.25">
      <c r="B173" s="56" t="s">
        <v>172</v>
      </c>
      <c r="C173" s="82">
        <v>20.095358000000001</v>
      </c>
      <c r="D173" s="82">
        <v>40.774403999999997</v>
      </c>
      <c r="E173" s="82">
        <v>36.627330000000001</v>
      </c>
      <c r="F173" s="82">
        <v>30.307183999999999</v>
      </c>
      <c r="G173" s="82">
        <v>29.750432</v>
      </c>
      <c r="H173" s="82">
        <v>25.823391999999998</v>
      </c>
      <c r="I173" s="82">
        <v>24.581826</v>
      </c>
      <c r="J173" s="82">
        <v>26.31521</v>
      </c>
      <c r="K173" s="82">
        <v>25.492885000000001</v>
      </c>
      <c r="L173" s="82">
        <v>19.886686999999998</v>
      </c>
      <c r="M173" s="82">
        <v>27.274090000000001</v>
      </c>
      <c r="N173" s="82">
        <v>27.929942</v>
      </c>
      <c r="O173" s="82">
        <v>29.737102</v>
      </c>
      <c r="P173" s="182">
        <f>O173</f>
        <v>29.737102</v>
      </c>
      <c r="Q173" s="182">
        <f t="shared" ref="Q173:S176" si="80">P173</f>
        <v>29.737102</v>
      </c>
      <c r="R173" s="182">
        <f t="shared" si="80"/>
        <v>29.737102</v>
      </c>
      <c r="S173" s="182">
        <f t="shared" si="80"/>
        <v>29.737102</v>
      </c>
      <c r="T173" s="186"/>
      <c r="U173" s="48"/>
      <c r="V173" s="118" t="s">
        <v>68</v>
      </c>
      <c r="W173" s="121">
        <f>+SUM(W171:W172)</f>
        <v>4410204</v>
      </c>
      <c r="X173" s="121">
        <f>+SUM(X171:X172)</f>
        <v>5163983</v>
      </c>
    </row>
    <row r="174" spans="2:28" x14ac:dyDescent="0.25">
      <c r="B174" s="56" t="s">
        <v>235</v>
      </c>
      <c r="C174" s="82">
        <v>1.677481</v>
      </c>
      <c r="D174" s="82">
        <v>1.6718029999999999</v>
      </c>
      <c r="E174" s="82">
        <v>1.6719029999999999</v>
      </c>
      <c r="F174" s="82">
        <v>3.4269999999999999E-3</v>
      </c>
      <c r="G174" s="82">
        <v>3.4269999999999999E-3</v>
      </c>
      <c r="H174" s="82">
        <v>3.4269999999999999E-3</v>
      </c>
      <c r="I174" s="82">
        <v>0.15042700000000001</v>
      </c>
      <c r="J174" s="82">
        <v>0.19592699999999999</v>
      </c>
      <c r="K174" s="82">
        <v>0.21342700000000001</v>
      </c>
      <c r="L174" s="82">
        <v>5.5849999999999997E-2</v>
      </c>
      <c r="M174" s="82">
        <v>5.5849999999999997E-2</v>
      </c>
      <c r="N174" s="82">
        <v>2.7422999999999999E-2</v>
      </c>
      <c r="O174" s="82">
        <v>2.7422999999999999E-2</v>
      </c>
      <c r="P174" s="182">
        <f>O174</f>
        <v>2.7422999999999999E-2</v>
      </c>
      <c r="Q174" s="182">
        <f t="shared" si="80"/>
        <v>2.7422999999999999E-2</v>
      </c>
      <c r="R174" s="182">
        <f t="shared" si="80"/>
        <v>2.7422999999999999E-2</v>
      </c>
      <c r="S174" s="182">
        <f t="shared" si="80"/>
        <v>2.7422999999999999E-2</v>
      </c>
      <c r="T174" s="186"/>
      <c r="U174" s="48"/>
    </row>
    <row r="175" spans="2:28" x14ac:dyDescent="0.25">
      <c r="B175" s="56" t="s">
        <v>143</v>
      </c>
      <c r="C175" s="82">
        <v>14.096958000000001</v>
      </c>
      <c r="D175" s="82">
        <v>11.408920999999999</v>
      </c>
      <c r="E175" s="82">
        <v>9.6025039999999997</v>
      </c>
      <c r="F175" s="82">
        <v>9.2260159999999996</v>
      </c>
      <c r="G175" s="82">
        <v>10.063426</v>
      </c>
      <c r="H175" s="82">
        <v>11.616785</v>
      </c>
      <c r="I175" s="82">
        <v>13.160481000000001</v>
      </c>
      <c r="J175" s="82">
        <v>13.072767000000001</v>
      </c>
      <c r="K175" s="82">
        <v>13.647826</v>
      </c>
      <c r="L175" s="82">
        <v>13.672591000000001</v>
      </c>
      <c r="M175" s="82">
        <v>14.686249</v>
      </c>
      <c r="N175" s="82">
        <v>14.930579</v>
      </c>
      <c r="O175" s="82">
        <v>15.666911000000001</v>
      </c>
      <c r="P175" s="182">
        <f>O175</f>
        <v>15.666911000000001</v>
      </c>
      <c r="Q175" s="182">
        <f t="shared" si="80"/>
        <v>15.666911000000001</v>
      </c>
      <c r="R175" s="182">
        <f t="shared" si="80"/>
        <v>15.666911000000001</v>
      </c>
      <c r="S175" s="182">
        <f t="shared" si="80"/>
        <v>15.666911000000001</v>
      </c>
      <c r="T175" s="186"/>
      <c r="U175" s="48"/>
    </row>
    <row r="176" spans="2:28" x14ac:dyDescent="0.25">
      <c r="B176" s="56" t="s">
        <v>144</v>
      </c>
      <c r="C176" s="82">
        <v>0.136133</v>
      </c>
      <c r="D176" s="82">
        <v>6.8481E-2</v>
      </c>
      <c r="E176" s="82">
        <v>6.719E-2</v>
      </c>
      <c r="F176" s="82">
        <v>7.7919000000000002E-2</v>
      </c>
      <c r="G176" s="82">
        <v>7.5019000000000002E-2</v>
      </c>
      <c r="H176" s="82">
        <v>0.109184</v>
      </c>
      <c r="I176" s="82">
        <v>1.8498779999999999</v>
      </c>
      <c r="J176" s="82">
        <v>2.067377</v>
      </c>
      <c r="K176" s="82">
        <v>1.853915</v>
      </c>
      <c r="L176" s="82">
        <v>1.601707</v>
      </c>
      <c r="M176" s="82">
        <v>1.4036869999999999</v>
      </c>
      <c r="N176" s="82">
        <v>2.1241759999999998</v>
      </c>
      <c r="O176" s="82">
        <v>2.0694400000000002</v>
      </c>
      <c r="P176" s="182">
        <f>O176</f>
        <v>2.0694400000000002</v>
      </c>
      <c r="Q176" s="182">
        <f t="shared" si="80"/>
        <v>2.0694400000000002</v>
      </c>
      <c r="R176" s="182">
        <f t="shared" si="80"/>
        <v>2.0694400000000002</v>
      </c>
      <c r="S176" s="182">
        <f t="shared" si="80"/>
        <v>2.0694400000000002</v>
      </c>
      <c r="T176" s="186"/>
      <c r="U176" s="48"/>
    </row>
    <row r="177" spans="2:24" ht="18" x14ac:dyDescent="0.25">
      <c r="B177" s="20" t="s">
        <v>23</v>
      </c>
      <c r="C177" s="85">
        <f t="shared" ref="C177:J177" si="81">SUM(C173:C176)</f>
        <v>36.005930000000006</v>
      </c>
      <c r="D177" s="85">
        <f t="shared" si="81"/>
        <v>53.923608999999992</v>
      </c>
      <c r="E177" s="85">
        <f t="shared" si="81"/>
        <v>47.968926999999994</v>
      </c>
      <c r="F177" s="85">
        <f t="shared" si="81"/>
        <v>39.614545999999997</v>
      </c>
      <c r="G177" s="85">
        <f t="shared" si="81"/>
        <v>39.892303999999996</v>
      </c>
      <c r="H177" s="85">
        <f t="shared" si="81"/>
        <v>37.552787999999993</v>
      </c>
      <c r="I177" s="85">
        <f t="shared" si="81"/>
        <v>39.742612000000001</v>
      </c>
      <c r="J177" s="85">
        <f t="shared" si="81"/>
        <v>41.651281000000004</v>
      </c>
      <c r="K177" s="85">
        <f>SUM(K173:K176)</f>
        <v>41.208053</v>
      </c>
      <c r="L177" s="85">
        <f>SUM(L173:L176)</f>
        <v>35.216834999999996</v>
      </c>
      <c r="M177" s="85">
        <f>SUM(M173:M176)</f>
        <v>43.419875999999995</v>
      </c>
      <c r="N177" s="85">
        <f>SUM(N173:N176)</f>
        <v>45.012119999999996</v>
      </c>
      <c r="O177" s="85">
        <f>SUM(O173:O176)</f>
        <v>47.500875999999998</v>
      </c>
      <c r="P177" s="185">
        <f t="shared" ref="P177:S177" si="82">SUM(P173:P176)</f>
        <v>47.500875999999998</v>
      </c>
      <c r="Q177" s="185">
        <f t="shared" si="82"/>
        <v>47.500875999999998</v>
      </c>
      <c r="R177" s="185">
        <f t="shared" si="82"/>
        <v>47.500875999999998</v>
      </c>
      <c r="S177" s="185">
        <f t="shared" si="82"/>
        <v>47.500875999999998</v>
      </c>
      <c r="T177" s="186"/>
      <c r="U177" s="48"/>
    </row>
    <row r="178" spans="2:24" x14ac:dyDescent="0.25">
      <c r="B178" s="56" t="s">
        <v>172</v>
      </c>
      <c r="C178" s="82">
        <v>43.155942000000003</v>
      </c>
      <c r="D178" s="82">
        <v>6.9656929999999999</v>
      </c>
      <c r="E178" s="82">
        <v>5.7860329999999998</v>
      </c>
      <c r="F178" s="82">
        <v>10.777850000000001</v>
      </c>
      <c r="G178" s="82">
        <v>11.072189</v>
      </c>
      <c r="H178" s="82">
        <v>14.116201</v>
      </c>
      <c r="I178" s="82">
        <v>16.216981000000001</v>
      </c>
      <c r="J178" s="82">
        <v>17.865977000000001</v>
      </c>
      <c r="K178" s="82">
        <v>14.620462</v>
      </c>
      <c r="L178" s="82">
        <v>17.396557000000001</v>
      </c>
      <c r="M178" s="82">
        <v>5.6798900000000003</v>
      </c>
      <c r="N178" s="82">
        <v>12.627831</v>
      </c>
      <c r="O178" s="82">
        <v>9.4947949999999999</v>
      </c>
      <c r="P178" s="182">
        <f>O178</f>
        <v>9.4947949999999999</v>
      </c>
      <c r="Q178" s="182">
        <f t="shared" ref="Q178:S179" si="83">P178</f>
        <v>9.4947949999999999</v>
      </c>
      <c r="R178" s="182">
        <f t="shared" si="83"/>
        <v>9.4947949999999999</v>
      </c>
      <c r="S178" s="182">
        <f t="shared" si="83"/>
        <v>9.4947949999999999</v>
      </c>
      <c r="T178" s="186"/>
      <c r="U178" s="48"/>
    </row>
    <row r="179" spans="2:24" x14ac:dyDescent="0.25">
      <c r="B179" s="56" t="s">
        <v>148</v>
      </c>
      <c r="C179" s="82">
        <v>0.40983799999999998</v>
      </c>
      <c r="D179" s="82">
        <v>0.13361100000000001</v>
      </c>
      <c r="E179" s="82">
        <v>0.133795</v>
      </c>
      <c r="F179" s="82">
        <v>0.133795</v>
      </c>
      <c r="G179" s="82">
        <v>6.1231000000000001E-2</v>
      </c>
      <c r="H179" s="82">
        <v>0.223</v>
      </c>
      <c r="I179" s="82">
        <v>2.5000000000000001E-3</v>
      </c>
      <c r="J179" s="82">
        <v>6.5047999999999995E-2</v>
      </c>
      <c r="K179" s="82">
        <v>6.5157000000000007E-2</v>
      </c>
      <c r="L179" s="82">
        <v>4.5125999999999999E-2</v>
      </c>
      <c r="M179" s="82">
        <v>3.031E-2</v>
      </c>
      <c r="N179" s="82">
        <v>4.2810000000000001E-2</v>
      </c>
      <c r="O179" s="82">
        <v>3.031E-2</v>
      </c>
      <c r="P179" s="182">
        <f>O179</f>
        <v>3.031E-2</v>
      </c>
      <c r="Q179" s="182">
        <f t="shared" si="83"/>
        <v>3.031E-2</v>
      </c>
      <c r="R179" s="182">
        <f t="shared" si="83"/>
        <v>3.031E-2</v>
      </c>
      <c r="S179" s="182">
        <f t="shared" si="83"/>
        <v>3.031E-2</v>
      </c>
      <c r="T179" s="186"/>
      <c r="U179" s="48"/>
    </row>
    <row r="180" spans="2:24" x14ac:dyDescent="0.25">
      <c r="B180" s="56" t="s">
        <v>145</v>
      </c>
      <c r="C180" s="82">
        <v>1.2176260000000001</v>
      </c>
      <c r="D180" s="82">
        <v>0.37349300000000002</v>
      </c>
      <c r="E180" s="82">
        <v>0.61069600000000002</v>
      </c>
      <c r="F180" s="82">
        <v>1.537674</v>
      </c>
      <c r="G180" s="82">
        <v>0.81386099999999995</v>
      </c>
      <c r="H180" s="82">
        <v>1.8408420000000001</v>
      </c>
      <c r="I180" s="82">
        <v>3.7994919999999999</v>
      </c>
      <c r="J180" s="82">
        <v>5.3793230000000003</v>
      </c>
      <c r="K180" s="82">
        <v>4.5345779999999998</v>
      </c>
      <c r="L180" s="82">
        <v>2.7730730000000001</v>
      </c>
      <c r="M180" s="82">
        <v>3.3090130000000002</v>
      </c>
      <c r="N180" s="82">
        <v>6.5407299999999999</v>
      </c>
      <c r="O180" s="82">
        <v>8.6172719999999998</v>
      </c>
      <c r="P180" s="182">
        <f>(P97*(-P133/365))</f>
        <v>8.6268467466666667</v>
      </c>
      <c r="Q180" s="182">
        <f>(Q97*(-Q133/365))</f>
        <v>17.100689041600006</v>
      </c>
      <c r="R180" s="182">
        <f>(R97*(-R133/365))</f>
        <v>22.184408444064005</v>
      </c>
      <c r="S180" s="182">
        <f>(S97*(-S133/365))</f>
        <v>29.882906214042247</v>
      </c>
      <c r="T180" s="188"/>
      <c r="U180" s="48"/>
    </row>
    <row r="181" spans="2:24" x14ac:dyDescent="0.25">
      <c r="B181" s="56" t="s">
        <v>147</v>
      </c>
      <c r="C181" s="82">
        <v>0</v>
      </c>
      <c r="D181" s="82">
        <v>3.2319000000000001E-2</v>
      </c>
      <c r="E181" s="82">
        <v>0.61524400000000001</v>
      </c>
      <c r="F181" s="82">
        <v>3.6663000000000001E-2</v>
      </c>
      <c r="G181" s="82">
        <v>0.17655699999999999</v>
      </c>
      <c r="H181" s="82">
        <v>2.764E-3</v>
      </c>
      <c r="I181" s="82">
        <v>0.35020099999999998</v>
      </c>
      <c r="J181" s="82">
        <v>0.22878899999999999</v>
      </c>
      <c r="K181" s="82">
        <v>0.240729</v>
      </c>
      <c r="L181" s="82">
        <v>0.21560000000000001</v>
      </c>
      <c r="M181" s="82">
        <v>0.23721700000000001</v>
      </c>
      <c r="N181" s="82">
        <v>0.43246499999999999</v>
      </c>
      <c r="O181" s="82">
        <v>0.547906</v>
      </c>
      <c r="P181" s="182">
        <f>O181</f>
        <v>0.547906</v>
      </c>
      <c r="Q181" s="182">
        <f t="shared" ref="Q181:S181" si="84">P181</f>
        <v>0.547906</v>
      </c>
      <c r="R181" s="182">
        <f t="shared" si="84"/>
        <v>0.547906</v>
      </c>
      <c r="S181" s="182">
        <f t="shared" si="84"/>
        <v>0.547906</v>
      </c>
      <c r="T181" s="186"/>
      <c r="U181" s="48"/>
    </row>
    <row r="182" spans="2:24" ht="18" x14ac:dyDescent="0.25">
      <c r="B182" s="20" t="s">
        <v>24</v>
      </c>
      <c r="C182" s="85">
        <f t="shared" ref="C182:H182" si="85">SUM(C178:C181)</f>
        <v>44.783406000000006</v>
      </c>
      <c r="D182" s="85">
        <f t="shared" si="85"/>
        <v>7.5051160000000001</v>
      </c>
      <c r="E182" s="85">
        <f t="shared" si="85"/>
        <v>7.1457679999999995</v>
      </c>
      <c r="F182" s="85">
        <f t="shared" si="85"/>
        <v>12.485982</v>
      </c>
      <c r="G182" s="85">
        <f t="shared" si="85"/>
        <v>12.123837999999999</v>
      </c>
      <c r="H182" s="85">
        <f t="shared" si="85"/>
        <v>16.182807</v>
      </c>
      <c r="I182" s="85">
        <f t="shared" ref="I182:J182" si="86">SUM(I178:I181)</f>
        <v>20.369174000000001</v>
      </c>
      <c r="J182" s="85">
        <f t="shared" si="86"/>
        <v>23.539137</v>
      </c>
      <c r="K182" s="85">
        <f>SUM(K178:K181)</f>
        <v>19.460926000000001</v>
      </c>
      <c r="L182" s="85">
        <f>SUM(L178:L181)</f>
        <v>20.430356</v>
      </c>
      <c r="M182" s="85">
        <f>SUM(M178:M181)</f>
        <v>9.2564299999999999</v>
      </c>
      <c r="N182" s="85">
        <f>SUM(N178:N181)</f>
        <v>19.643836</v>
      </c>
      <c r="O182" s="85">
        <f>SUM(O178:O181)</f>
        <v>18.690283000000001</v>
      </c>
      <c r="P182" s="185">
        <f t="shared" ref="P182:S182" si="87">SUM(P178:P181)</f>
        <v>18.69985774666667</v>
      </c>
      <c r="Q182" s="185">
        <f t="shared" si="87"/>
        <v>27.173700041600007</v>
      </c>
      <c r="R182" s="185">
        <f t="shared" si="87"/>
        <v>32.257419444064006</v>
      </c>
      <c r="S182" s="185">
        <f t="shared" si="87"/>
        <v>39.955917214042245</v>
      </c>
      <c r="T182" s="186"/>
      <c r="U182" s="48"/>
    </row>
    <row r="183" spans="2:24" x14ac:dyDescent="0.25">
      <c r="B183" s="56"/>
      <c r="C183" s="82"/>
      <c r="D183" s="82"/>
      <c r="E183" s="82"/>
      <c r="F183" s="82"/>
      <c r="G183" s="82"/>
      <c r="H183" s="82"/>
      <c r="I183" s="82"/>
      <c r="J183" s="82"/>
      <c r="K183" s="82"/>
      <c r="L183" s="82"/>
      <c r="M183" s="82"/>
      <c r="N183" s="82"/>
      <c r="O183" s="82"/>
      <c r="P183" s="182"/>
      <c r="Q183" s="182"/>
      <c r="R183" s="182"/>
      <c r="S183" s="182"/>
      <c r="T183" s="94"/>
      <c r="U183" s="48"/>
    </row>
    <row r="184" spans="2:24" ht="18" x14ac:dyDescent="0.25">
      <c r="B184" s="20" t="s">
        <v>25</v>
      </c>
      <c r="C184" s="83">
        <f t="shared" ref="C184:J184" si="88">C177+C182+C172</f>
        <v>182.03529800000001</v>
      </c>
      <c r="D184" s="83">
        <f t="shared" si="88"/>
        <v>156.52390299999999</v>
      </c>
      <c r="E184" s="83">
        <f t="shared" si="88"/>
        <v>150.86969399999998</v>
      </c>
      <c r="F184" s="83">
        <f t="shared" si="88"/>
        <v>147.77006299999999</v>
      </c>
      <c r="G184" s="83">
        <f t="shared" si="88"/>
        <v>145.72078899999997</v>
      </c>
      <c r="H184" s="83">
        <f t="shared" si="88"/>
        <v>145.60767599999997</v>
      </c>
      <c r="I184" s="83">
        <f t="shared" si="88"/>
        <v>156.207156</v>
      </c>
      <c r="J184" s="83">
        <f t="shared" si="88"/>
        <v>153.057985</v>
      </c>
      <c r="K184" s="83">
        <f>K177+K182+K172</f>
        <v>152.20648399999999</v>
      </c>
      <c r="L184" s="83">
        <f>L177+L182+L172</f>
        <v>147.98902799999999</v>
      </c>
      <c r="M184" s="83">
        <f>M177+M182+M172</f>
        <v>148.22277800000001</v>
      </c>
      <c r="N184" s="83">
        <f>N177+N182+N172</f>
        <v>161.568096</v>
      </c>
      <c r="O184" s="83">
        <f>O177+O182+O172</f>
        <v>170.881135</v>
      </c>
      <c r="P184" s="183">
        <f t="shared" ref="P184:S184" si="89">P172+P177+P182</f>
        <v>180.34848779686655</v>
      </c>
      <c r="Q184" s="183">
        <f t="shared" si="89"/>
        <v>200.60590945574631</v>
      </c>
      <c r="R184" s="183">
        <f t="shared" si="89"/>
        <v>219.26356478563176</v>
      </c>
      <c r="S184" s="183">
        <f t="shared" si="89"/>
        <v>239.73801857886156</v>
      </c>
      <c r="T184" s="66"/>
      <c r="U184" s="48"/>
    </row>
    <row r="185" spans="2:24" x14ac:dyDescent="0.25">
      <c r="C185" s="48">
        <f t="shared" ref="C185:M185" si="90">C159-C184</f>
        <v>1.6129999999918709E-3</v>
      </c>
      <c r="D185" s="48">
        <f t="shared" si="90"/>
        <v>1.6129999999918709E-3</v>
      </c>
      <c r="E185" s="48">
        <f t="shared" si="90"/>
        <v>-9.9000000005844413E-5</v>
      </c>
      <c r="F185" s="48">
        <f t="shared" si="90"/>
        <v>9.9999999747524271E-7</v>
      </c>
      <c r="G185" s="48">
        <f t="shared" si="90"/>
        <v>1.0000000258969521E-6</v>
      </c>
      <c r="H185" s="48">
        <f t="shared" si="90"/>
        <v>0</v>
      </c>
      <c r="I185" s="48">
        <f t="shared" si="90"/>
        <v>0</v>
      </c>
      <c r="J185" s="48">
        <f t="shared" si="90"/>
        <v>0</v>
      </c>
      <c r="K185" s="48">
        <f t="shared" si="90"/>
        <v>0</v>
      </c>
      <c r="L185" s="48">
        <f t="shared" si="90"/>
        <v>0</v>
      </c>
      <c r="M185" s="48">
        <f t="shared" si="90"/>
        <v>0</v>
      </c>
      <c r="N185" s="48">
        <f t="shared" ref="N185" si="91">N159-N184</f>
        <v>0</v>
      </c>
      <c r="O185" s="48">
        <f t="shared" ref="O185:S185" si="92">O159-O184</f>
        <v>-9.9999999747524271E-7</v>
      </c>
      <c r="P185" s="186">
        <f t="shared" si="92"/>
        <v>-1.0000000258969521E-6</v>
      </c>
      <c r="Q185" s="186">
        <f t="shared" si="92"/>
        <v>-9.9999999747524271E-7</v>
      </c>
      <c r="R185" s="186">
        <f t="shared" si="92"/>
        <v>-9.9999999747524271E-7</v>
      </c>
      <c r="S185" s="186">
        <f t="shared" si="92"/>
        <v>-9.9999999747524271E-7</v>
      </c>
      <c r="T185" s="49"/>
      <c r="U185" s="49"/>
      <c r="V185" s="49"/>
      <c r="W185" s="49"/>
      <c r="X185" s="49"/>
    </row>
    <row r="186" spans="2:24" s="3" customFormat="1" x14ac:dyDescent="0.25"/>
    <row r="187" spans="2:24" x14ac:dyDescent="0.25">
      <c r="B187" s="58"/>
      <c r="C187" s="48"/>
      <c r="D187" s="48"/>
      <c r="E187" s="48"/>
      <c r="F187" s="48"/>
      <c r="G187" s="48"/>
      <c r="H187" s="48"/>
      <c r="I187" s="48"/>
      <c r="J187" s="48"/>
      <c r="K187" s="48"/>
      <c r="L187" s="48"/>
      <c r="M187" s="48"/>
      <c r="N187" s="48"/>
      <c r="O187" s="48"/>
      <c r="P187" s="48"/>
      <c r="Q187" s="48"/>
      <c r="R187" s="48"/>
      <c r="S187" s="48"/>
    </row>
    <row r="188" spans="2:24" x14ac:dyDescent="0.25">
      <c r="B188" s="58"/>
      <c r="C188" s="48"/>
      <c r="D188" s="48"/>
      <c r="E188" s="48"/>
      <c r="F188" s="48"/>
      <c r="G188" s="48"/>
      <c r="H188" s="48"/>
      <c r="I188" s="48"/>
      <c r="J188" s="48"/>
      <c r="K188" s="48"/>
      <c r="L188" s="48"/>
      <c r="M188" s="48"/>
      <c r="N188" s="48"/>
      <c r="O188" s="48"/>
      <c r="P188" s="48"/>
      <c r="Q188" s="49"/>
      <c r="R188" s="49"/>
      <c r="S188" s="49"/>
      <c r="T188" s="49"/>
      <c r="U188" s="49"/>
      <c r="V188" s="49"/>
    </row>
    <row r="189" spans="2:24" ht="30" x14ac:dyDescent="0.4">
      <c r="B189" s="26" t="s">
        <v>92</v>
      </c>
    </row>
    <row r="190" spans="2:24" x14ac:dyDescent="0.25">
      <c r="P190" s="181"/>
      <c r="Q190" s="181"/>
      <c r="R190" s="181"/>
      <c r="S190" s="181"/>
    </row>
    <row r="191" spans="2:24" ht="22.5" x14ac:dyDescent="0.3">
      <c r="B191" s="18" t="s">
        <v>69</v>
      </c>
      <c r="C191" s="7">
        <v>2013</v>
      </c>
      <c r="D191" s="7">
        <v>2014</v>
      </c>
      <c r="E191" s="7">
        <v>2015</v>
      </c>
      <c r="F191" s="7">
        <v>2016</v>
      </c>
      <c r="G191" s="7">
        <v>2017</v>
      </c>
      <c r="H191" s="7">
        <v>2018</v>
      </c>
      <c r="I191" s="6">
        <v>2019</v>
      </c>
      <c r="J191" s="6">
        <v>2020</v>
      </c>
      <c r="K191" s="6">
        <v>2021</v>
      </c>
      <c r="L191" s="6">
        <v>2022</v>
      </c>
      <c r="M191" s="7">
        <v>2023</v>
      </c>
      <c r="N191" s="7">
        <v>2024</v>
      </c>
      <c r="O191" s="7">
        <v>2025</v>
      </c>
      <c r="P191" s="6" t="s">
        <v>61</v>
      </c>
      <c r="Q191" s="6" t="s">
        <v>78</v>
      </c>
      <c r="R191" s="6" t="s">
        <v>252</v>
      </c>
      <c r="S191" s="6" t="s">
        <v>270</v>
      </c>
    </row>
    <row r="192" spans="2:24" ht="18" x14ac:dyDescent="0.25">
      <c r="B192" s="20" t="s">
        <v>6</v>
      </c>
      <c r="C192" s="87">
        <f t="shared" ref="C192:J192" si="93">C114</f>
        <v>-48.442568999999992</v>
      </c>
      <c r="D192" s="87">
        <f t="shared" si="93"/>
        <v>8.5364979999999999</v>
      </c>
      <c r="E192" s="87">
        <f t="shared" si="93"/>
        <v>1.7557989999999972</v>
      </c>
      <c r="F192" s="87">
        <f t="shared" si="93"/>
        <v>4.2612870000000003</v>
      </c>
      <c r="G192" s="87">
        <f t="shared" si="93"/>
        <v>1.2830080000000015</v>
      </c>
      <c r="H192" s="87">
        <f t="shared" si="93"/>
        <v>0.99924999999999908</v>
      </c>
      <c r="I192" s="87">
        <f t="shared" si="93"/>
        <v>1.4855150000000015</v>
      </c>
      <c r="J192" s="87">
        <f t="shared" si="93"/>
        <v>-3.8674089999999985</v>
      </c>
      <c r="K192" s="87">
        <f>K114</f>
        <v>1.5642620000000018</v>
      </c>
      <c r="L192" s="87">
        <f>L114</f>
        <v>2.1575329999999986</v>
      </c>
      <c r="M192" s="87">
        <f>M114</f>
        <v>3.2258879999999999</v>
      </c>
      <c r="N192" s="87">
        <f>N114</f>
        <v>3.8610749999999987</v>
      </c>
      <c r="O192" s="87">
        <f>O114</f>
        <v>6.2230250000000007</v>
      </c>
      <c r="P192" s="176">
        <f t="shared" ref="P192:S192" si="94">P114</f>
        <v>6.4761396735000005</v>
      </c>
      <c r="Q192" s="176">
        <f t="shared" si="94"/>
        <v>8.8940253811350019</v>
      </c>
      <c r="R192" s="176">
        <f t="shared" si="94"/>
        <v>10.491521711593577</v>
      </c>
      <c r="S192" s="176">
        <f t="shared" si="94"/>
        <v>12.570491887263822</v>
      </c>
    </row>
    <row r="193" spans="2:19" x14ac:dyDescent="0.25">
      <c r="B193" s="56" t="s">
        <v>246</v>
      </c>
      <c r="C193" s="82">
        <v>-1.25163</v>
      </c>
      <c r="D193" s="82">
        <v>-8.9502839999999999</v>
      </c>
      <c r="E193" s="82">
        <v>-8.9500999999999997E-2</v>
      </c>
      <c r="F193" s="82">
        <v>0</v>
      </c>
      <c r="G193" s="82">
        <v>0</v>
      </c>
      <c r="H193" s="82">
        <v>0</v>
      </c>
      <c r="I193" s="82">
        <v>0</v>
      </c>
      <c r="J193" s="82">
        <v>0</v>
      </c>
      <c r="K193" s="82">
        <v>0</v>
      </c>
      <c r="L193" s="82">
        <v>0</v>
      </c>
      <c r="M193" s="82">
        <v>0</v>
      </c>
      <c r="N193" s="82">
        <v>0</v>
      </c>
      <c r="O193" s="82">
        <v>0</v>
      </c>
      <c r="P193" s="177"/>
      <c r="Q193" s="177"/>
      <c r="R193" s="177"/>
      <c r="S193" s="177"/>
    </row>
    <row r="194" spans="2:19" x14ac:dyDescent="0.25">
      <c r="B194" s="56" t="s">
        <v>151</v>
      </c>
      <c r="C194" s="82">
        <v>0.341947</v>
      </c>
      <c r="D194" s="82">
        <v>0.29291699999999998</v>
      </c>
      <c r="E194" s="82">
        <v>0.29513600000000001</v>
      </c>
      <c r="F194" s="82">
        <v>0.31725500000000001</v>
      </c>
      <c r="G194" s="82">
        <v>0.310838</v>
      </c>
      <c r="H194" s="82">
        <v>0.13178000000000001</v>
      </c>
      <c r="I194" s="82">
        <v>0.315442</v>
      </c>
      <c r="J194" s="82">
        <v>0.27249400000000001</v>
      </c>
      <c r="K194" s="82">
        <v>0.28511199999999998</v>
      </c>
      <c r="L194" s="82">
        <v>0.28021400000000002</v>
      </c>
      <c r="M194" s="82">
        <v>0.29962</v>
      </c>
      <c r="N194" s="82">
        <v>0.31373699999999999</v>
      </c>
      <c r="O194" s="82">
        <v>0.31098300000000001</v>
      </c>
      <c r="P194" s="177"/>
      <c r="Q194" s="177"/>
      <c r="R194" s="177"/>
      <c r="S194" s="177"/>
    </row>
    <row r="195" spans="2:19" x14ac:dyDescent="0.25">
      <c r="B195" s="56" t="s">
        <v>152</v>
      </c>
      <c r="C195" s="82">
        <v>28.234812000000002</v>
      </c>
      <c r="D195" s="82">
        <v>-6.1462219999999999</v>
      </c>
      <c r="E195" s="82">
        <v>3.062783</v>
      </c>
      <c r="F195" s="82">
        <v>0</v>
      </c>
      <c r="G195" s="82">
        <v>0</v>
      </c>
      <c r="H195" s="82">
        <v>0</v>
      </c>
      <c r="I195" s="82">
        <v>0</v>
      </c>
      <c r="J195" s="82">
        <v>0.436386</v>
      </c>
      <c r="K195" s="82">
        <v>-2.8531999999999998E-2</v>
      </c>
      <c r="L195" s="82">
        <v>0</v>
      </c>
      <c r="M195" s="82">
        <v>0</v>
      </c>
      <c r="N195" s="82">
        <v>-0.49437300000000001</v>
      </c>
      <c r="O195" s="82">
        <v>-6.2216E-2</v>
      </c>
      <c r="P195" s="177"/>
      <c r="Q195" s="177"/>
      <c r="R195" s="177"/>
      <c r="S195" s="177"/>
    </row>
    <row r="196" spans="2:19" x14ac:dyDescent="0.25">
      <c r="B196" s="56" t="s">
        <v>249</v>
      </c>
      <c r="C196" s="82">
        <v>-0.38895000000000002</v>
      </c>
      <c r="D196" s="82">
        <v>0.48865500000000001</v>
      </c>
      <c r="E196" s="82">
        <v>0</v>
      </c>
      <c r="F196" s="82">
        <v>0</v>
      </c>
      <c r="G196" s="82">
        <v>0</v>
      </c>
      <c r="H196" s="82">
        <v>0</v>
      </c>
      <c r="I196" s="82">
        <v>0</v>
      </c>
      <c r="J196" s="82">
        <v>0</v>
      </c>
      <c r="K196" s="82">
        <v>0</v>
      </c>
      <c r="L196" s="82">
        <v>0</v>
      </c>
      <c r="M196" s="82">
        <v>0</v>
      </c>
      <c r="N196" s="82">
        <v>-1.0213570000000001</v>
      </c>
      <c r="O196" s="82">
        <v>-1.0593220000000001</v>
      </c>
      <c r="P196" s="177"/>
      <c r="Q196" s="177"/>
      <c r="R196" s="177"/>
      <c r="S196" s="177"/>
    </row>
    <row r="197" spans="2:19" x14ac:dyDescent="0.25">
      <c r="B197" s="56" t="s">
        <v>153</v>
      </c>
      <c r="C197" s="82">
        <v>0.15223400000000001</v>
      </c>
      <c r="D197" s="82">
        <v>-0.29183399999999998</v>
      </c>
      <c r="E197" s="82">
        <v>0</v>
      </c>
      <c r="F197" s="82">
        <v>-1.6683760000000001</v>
      </c>
      <c r="G197" s="82">
        <v>-7.2564000000000003E-2</v>
      </c>
      <c r="H197" s="82">
        <v>0</v>
      </c>
      <c r="I197" s="82">
        <v>0.14699999999999999</v>
      </c>
      <c r="J197" s="82">
        <v>4.5499999999999999E-2</v>
      </c>
      <c r="K197" s="82">
        <v>1.7500000000000002E-2</v>
      </c>
      <c r="L197" s="82">
        <v>-0.15757699999999999</v>
      </c>
      <c r="M197" s="82">
        <v>0</v>
      </c>
      <c r="N197" s="82">
        <v>-2.8427000000000001E-2</v>
      </c>
      <c r="O197" s="82">
        <v>1.5885E-2</v>
      </c>
      <c r="P197" s="177"/>
      <c r="Q197" s="177"/>
      <c r="R197" s="177"/>
      <c r="S197" s="177"/>
    </row>
    <row r="198" spans="2:19" x14ac:dyDescent="0.25">
      <c r="B198" s="56" t="s">
        <v>267</v>
      </c>
      <c r="C198" s="82">
        <v>0</v>
      </c>
      <c r="D198" s="82">
        <v>0</v>
      </c>
      <c r="E198" s="82">
        <v>0</v>
      </c>
      <c r="F198" s="82">
        <v>0</v>
      </c>
      <c r="G198" s="82">
        <v>0</v>
      </c>
      <c r="H198" s="82">
        <v>0</v>
      </c>
      <c r="I198" s="82">
        <v>0</v>
      </c>
      <c r="J198" s="82">
        <v>0</v>
      </c>
      <c r="K198" s="82">
        <v>0</v>
      </c>
      <c r="L198" s="82">
        <v>0</v>
      </c>
      <c r="M198" s="82">
        <v>0</v>
      </c>
      <c r="N198" s="82">
        <v>-5.4900000000000001E-3</v>
      </c>
      <c r="O198" s="82">
        <v>-4.9751999999999998E-2</v>
      </c>
      <c r="P198" s="177"/>
      <c r="Q198" s="177"/>
      <c r="R198" s="177"/>
      <c r="S198" s="177"/>
    </row>
    <row r="199" spans="2:19" x14ac:dyDescent="0.25">
      <c r="B199" s="17" t="s">
        <v>154</v>
      </c>
      <c r="C199" s="82">
        <v>17.441559999999999</v>
      </c>
      <c r="D199" s="82">
        <v>5.503425</v>
      </c>
      <c r="E199" s="82">
        <v>-1.68123</v>
      </c>
      <c r="F199" s="82">
        <v>0.69609900000000002</v>
      </c>
      <c r="G199" s="82">
        <v>1.5785119999999999</v>
      </c>
      <c r="H199" s="82">
        <v>1.733303</v>
      </c>
      <c r="I199" s="82">
        <v>-7.4926000000000006E-2</v>
      </c>
      <c r="J199" s="82">
        <v>1.656909</v>
      </c>
      <c r="K199" s="82">
        <v>0.409418</v>
      </c>
      <c r="L199" s="82">
        <v>5.5208E-2</v>
      </c>
      <c r="M199" s="82">
        <v>-2.5500000000000002E-3</v>
      </c>
      <c r="N199" s="82">
        <v>-0.21529200000000001</v>
      </c>
      <c r="O199" s="82">
        <v>-0.27921099999999999</v>
      </c>
      <c r="P199" s="177"/>
      <c r="Q199" s="177"/>
      <c r="R199" s="177"/>
      <c r="S199" s="177"/>
    </row>
    <row r="200" spans="2:19" x14ac:dyDescent="0.25">
      <c r="B200" s="56" t="s">
        <v>155</v>
      </c>
      <c r="C200" s="82">
        <v>2.2026129999999999</v>
      </c>
      <c r="D200" s="82">
        <v>1.3765970000000001</v>
      </c>
      <c r="E200" s="82">
        <v>0.61984899999999998</v>
      </c>
      <c r="F200" s="82">
        <v>2.0693929999999998</v>
      </c>
      <c r="G200" s="82">
        <v>0.69654799999999994</v>
      </c>
      <c r="H200" s="82">
        <v>0.67372399999999999</v>
      </c>
      <c r="I200" s="82">
        <v>0.66629899999999997</v>
      </c>
      <c r="J200" s="82">
        <v>0.68598499999999996</v>
      </c>
      <c r="K200" s="82">
        <v>0.71360699999999999</v>
      </c>
      <c r="L200" s="82">
        <v>0.65407400000000004</v>
      </c>
      <c r="M200" s="82">
        <v>1.3771990000000001</v>
      </c>
      <c r="N200" s="82">
        <v>1.7795319999999999</v>
      </c>
      <c r="O200" s="82">
        <v>1.4965869999999999</v>
      </c>
      <c r="P200" s="177"/>
      <c r="Q200" s="177"/>
      <c r="R200" s="177"/>
      <c r="S200" s="177"/>
    </row>
    <row r="201" spans="2:19" x14ac:dyDescent="0.25">
      <c r="B201" s="56" t="s">
        <v>156</v>
      </c>
      <c r="C201" s="82">
        <v>2.7651999999999999E-2</v>
      </c>
      <c r="D201" s="82">
        <v>-3.2752999999999997E-2</v>
      </c>
      <c r="E201" s="82">
        <v>-4.1389000000000002E-2</v>
      </c>
      <c r="F201" s="82">
        <v>-2.9367000000000001E-2</v>
      </c>
      <c r="G201" s="82">
        <v>6.6207000000000002E-2</v>
      </c>
      <c r="H201" s="82">
        <v>-8.3469000000000002E-2</v>
      </c>
      <c r="I201" s="82">
        <v>-6.8475999999999995E-2</v>
      </c>
      <c r="J201" s="82">
        <v>0.173683</v>
      </c>
      <c r="K201" s="82">
        <v>-0.19788500000000001</v>
      </c>
      <c r="L201" s="97">
        <v>-3.1486E-2</v>
      </c>
      <c r="M201" s="97">
        <v>-0.10231800000000001</v>
      </c>
      <c r="N201" s="97">
        <v>-0.111439</v>
      </c>
      <c r="O201" s="97">
        <v>0.102461</v>
      </c>
      <c r="P201" s="177"/>
      <c r="Q201" s="177"/>
      <c r="R201" s="177"/>
      <c r="S201" s="177"/>
    </row>
    <row r="202" spans="2:19" x14ac:dyDescent="0.25">
      <c r="B202" s="56" t="s">
        <v>157</v>
      </c>
      <c r="C202" s="82">
        <v>-1.4929E-2</v>
      </c>
      <c r="D202" s="82">
        <v>-8.8070000000000006E-3</v>
      </c>
      <c r="E202" s="82">
        <v>-0.19537199999999999</v>
      </c>
      <c r="F202" s="82">
        <v>-1.7699999999999999E-4</v>
      </c>
      <c r="G202" s="82">
        <v>-1.54E-4</v>
      </c>
      <c r="H202" s="82">
        <v>-9.4900000000000002E-3</v>
      </c>
      <c r="I202" s="82">
        <v>-2.6400000000000002E-4</v>
      </c>
      <c r="J202" s="82">
        <v>-1.0510000000000001E-3</v>
      </c>
      <c r="K202" s="82">
        <v>-1.7226000000000002E-2</v>
      </c>
      <c r="L202" s="82">
        <v>-1.5106E-2</v>
      </c>
      <c r="M202" s="82">
        <v>-8.0943000000000001E-2</v>
      </c>
      <c r="N202" s="82">
        <v>-2.6874739999999999</v>
      </c>
      <c r="O202" s="82">
        <v>-1.5208159999999999</v>
      </c>
      <c r="P202" s="177"/>
      <c r="Q202" s="177"/>
      <c r="R202" s="177"/>
      <c r="S202" s="177"/>
    </row>
    <row r="203" spans="2:19" x14ac:dyDescent="0.25">
      <c r="B203" s="56" t="s">
        <v>50</v>
      </c>
      <c r="C203" s="82">
        <v>1.241662</v>
      </c>
      <c r="D203" s="82">
        <v>1.105901</v>
      </c>
      <c r="E203" s="82">
        <v>-1.1059019999999999</v>
      </c>
      <c r="F203" s="82"/>
      <c r="G203" s="82"/>
      <c r="H203" s="82"/>
      <c r="I203" s="82"/>
      <c r="J203" s="82"/>
      <c r="K203" s="82"/>
      <c r="L203" s="82"/>
      <c r="M203" s="82"/>
      <c r="N203" s="82">
        <v>4.3100000000000001E-4</v>
      </c>
      <c r="O203" s="82">
        <v>2.5699999999999998E-3</v>
      </c>
      <c r="P203" s="177"/>
      <c r="Q203" s="177"/>
      <c r="R203" s="177"/>
      <c r="S203" s="177"/>
    </row>
    <row r="204" spans="2:19" x14ac:dyDescent="0.25">
      <c r="B204" s="56" t="s">
        <v>158</v>
      </c>
      <c r="C204" s="82">
        <v>9.9679999999999994E-3</v>
      </c>
      <c r="D204" s="82">
        <v>7.8443820000000004</v>
      </c>
      <c r="E204" s="82">
        <v>0.62383299999999997</v>
      </c>
      <c r="F204" s="82">
        <v>3.3375010000000001</v>
      </c>
      <c r="G204" s="82">
        <v>0.95609900000000003</v>
      </c>
      <c r="H204" s="82">
        <v>0.86182499999999995</v>
      </c>
      <c r="I204" s="82">
        <v>0.42846499999999998</v>
      </c>
      <c r="J204" s="82">
        <v>0</v>
      </c>
      <c r="K204" s="82">
        <v>0.35048600000000002</v>
      </c>
      <c r="L204" s="82">
        <v>0.65962100000000001</v>
      </c>
      <c r="M204" s="82">
        <v>0</v>
      </c>
      <c r="N204" s="82">
        <v>0</v>
      </c>
      <c r="O204" s="82">
        <v>0</v>
      </c>
      <c r="P204" s="177"/>
      <c r="Q204" s="177"/>
      <c r="R204" s="177"/>
      <c r="S204" s="177"/>
    </row>
    <row r="205" spans="2:19" x14ac:dyDescent="0.25">
      <c r="B205" s="56" t="s">
        <v>159</v>
      </c>
      <c r="C205" s="82">
        <v>0.29941499999999999</v>
      </c>
      <c r="D205" s="82">
        <v>0.300483</v>
      </c>
      <c r="E205" s="82">
        <v>0.47583900000000001</v>
      </c>
      <c r="F205" s="82">
        <v>-2.585445</v>
      </c>
      <c r="G205" s="82">
        <v>-0.26372000000000001</v>
      </c>
      <c r="H205" s="82">
        <v>0.19522700000000001</v>
      </c>
      <c r="I205" s="82">
        <v>0.20205100000000001</v>
      </c>
      <c r="J205" s="82">
        <v>0.18268499999999999</v>
      </c>
      <c r="K205" s="82">
        <v>0.22590399999999999</v>
      </c>
      <c r="L205" s="82">
        <v>0.28871000000000002</v>
      </c>
      <c r="M205" s="82">
        <v>0</v>
      </c>
      <c r="N205" s="82">
        <v>0.38314300000000001</v>
      </c>
      <c r="O205" s="82">
        <v>-0.17061399999999999</v>
      </c>
      <c r="P205" s="177">
        <f>+P115</f>
        <v>-1.7934625233001522</v>
      </c>
      <c r="Q205" s="177">
        <f t="shared" ref="Q205:S205" si="95">+Q115</f>
        <v>-2.4630570071885551</v>
      </c>
      <c r="R205" s="177">
        <f t="shared" si="95"/>
        <v>-2.9054578731721277</v>
      </c>
      <c r="S205" s="177">
        <f t="shared" si="95"/>
        <v>-3.4811951619122636</v>
      </c>
    </row>
    <row r="206" spans="2:19" x14ac:dyDescent="0.25">
      <c r="B206" s="56" t="s">
        <v>160</v>
      </c>
      <c r="C206" s="82">
        <v>7.9310000000000005E-3</v>
      </c>
      <c r="D206" s="82">
        <v>3.6866999999999997E-2</v>
      </c>
      <c r="E206" s="82">
        <v>-0.699959</v>
      </c>
      <c r="F206" s="82">
        <v>-1.10097</v>
      </c>
      <c r="G206" s="82">
        <v>-0.51611700000000005</v>
      </c>
      <c r="H206" s="82">
        <v>-9.2827000000000007E-2</v>
      </c>
      <c r="I206" s="82">
        <v>-9.1420000000000008E-3</v>
      </c>
      <c r="J206" s="82">
        <v>1.1339E-2</v>
      </c>
      <c r="K206" s="82">
        <v>-0.13347899999999999</v>
      </c>
      <c r="L206" s="82">
        <v>-0.198856</v>
      </c>
      <c r="M206" s="82">
        <v>-1.2E-5</v>
      </c>
      <c r="N206" s="82">
        <v>-1.3649999999999999E-3</v>
      </c>
      <c r="O206" s="82">
        <v>0</v>
      </c>
      <c r="P206" s="177"/>
      <c r="Q206" s="177"/>
      <c r="R206" s="177"/>
      <c r="S206" s="177"/>
    </row>
    <row r="207" spans="2:19" x14ac:dyDescent="0.25">
      <c r="B207" s="56" t="s">
        <v>161</v>
      </c>
      <c r="C207" s="82">
        <v>0</v>
      </c>
      <c r="D207" s="82">
        <v>0</v>
      </c>
      <c r="E207" s="82">
        <v>0</v>
      </c>
      <c r="F207" s="82">
        <v>0</v>
      </c>
      <c r="G207" s="82">
        <v>0</v>
      </c>
      <c r="H207" s="82">
        <v>-3.3280639999999999</v>
      </c>
      <c r="I207" s="82">
        <v>-2.4878019999999998</v>
      </c>
      <c r="J207" s="82">
        <v>8.5941000000000004E-2</v>
      </c>
      <c r="K207" s="82">
        <v>-0.78618299999999997</v>
      </c>
      <c r="L207" s="82">
        <v>-0.88415699999999997</v>
      </c>
      <c r="M207" s="82">
        <v>-1.3481190000000001</v>
      </c>
      <c r="N207" s="82">
        <v>-1.0167619999999999</v>
      </c>
      <c r="O207" s="82">
        <v>-1.414652</v>
      </c>
      <c r="P207" s="177"/>
      <c r="Q207" s="177"/>
      <c r="R207" s="177"/>
      <c r="S207" s="177"/>
    </row>
    <row r="208" spans="2:19" ht="17.649999999999999" customHeight="1" x14ac:dyDescent="0.25">
      <c r="B208" s="21" t="s">
        <v>26</v>
      </c>
      <c r="C208" s="87">
        <f t="shared" ref="C208:H208" si="96">SUM(C192:C207)</f>
        <v>-0.13828399999999355</v>
      </c>
      <c r="D208" s="87">
        <f t="shared" si="96"/>
        <v>10.055825000000002</v>
      </c>
      <c r="E208" s="87">
        <f t="shared" si="96"/>
        <v>3.019885999999997</v>
      </c>
      <c r="F208" s="87">
        <f t="shared" si="96"/>
        <v>5.2972000000000001</v>
      </c>
      <c r="G208" s="87">
        <f t="shared" si="96"/>
        <v>4.0386570000000006</v>
      </c>
      <c r="H208" s="87">
        <f t="shared" si="96"/>
        <v>1.0812589999999997</v>
      </c>
      <c r="I208" s="87">
        <f t="shared" ref="I208:J208" si="97">SUM(I192:I207)</f>
        <v>0.60416200000000142</v>
      </c>
      <c r="J208" s="87">
        <f t="shared" si="97"/>
        <v>-0.31753799999999838</v>
      </c>
      <c r="K208" s="87">
        <f>SUM(K192:K207)</f>
        <v>2.4029840000000022</v>
      </c>
      <c r="L208" s="87">
        <f>SUM(L192:L207)</f>
        <v>2.8081779999999985</v>
      </c>
      <c r="M208" s="87">
        <f>SUM(M192:M207)</f>
        <v>3.3687649999999993</v>
      </c>
      <c r="N208" s="87">
        <f>SUM(N192:N207)</f>
        <v>0.75593899999999836</v>
      </c>
      <c r="O208" s="87">
        <f>SUM(O192:O207)</f>
        <v>3.5949280000000012</v>
      </c>
      <c r="P208" s="176">
        <f t="shared" ref="P208:S208" si="98">SUM(P192:P207)</f>
        <v>4.6826771501998481</v>
      </c>
      <c r="Q208" s="176">
        <f t="shared" si="98"/>
        <v>6.4309683739464472</v>
      </c>
      <c r="R208" s="176">
        <f t="shared" si="98"/>
        <v>7.5860638384214498</v>
      </c>
      <c r="S208" s="176">
        <f t="shared" si="98"/>
        <v>9.0892967253515593</v>
      </c>
    </row>
    <row r="209" spans="2:23" ht="15" customHeight="1" x14ac:dyDescent="0.25">
      <c r="B209" s="76" t="s">
        <v>27</v>
      </c>
      <c r="C209" s="82">
        <f>10.312559+0.867768-0.259235-0.589557+0.175311+0.014929</f>
        <v>10.521775000000002</v>
      </c>
      <c r="D209" s="82">
        <f>6.018909+3.842046+0.501267-0.844132-1.752351+0.008807</f>
        <v>7.7745460000000008</v>
      </c>
      <c r="E209" s="82">
        <f>1.877652+2.27689-1.665882+0.237203-2.116127+1.381871</f>
        <v>1.9916070000000003</v>
      </c>
      <c r="F209" s="82">
        <f>1.840211-0.235341-4.622757+3.649024-3.321149+1.137999</f>
        <v>-1.5520130000000003</v>
      </c>
      <c r="G209" s="82">
        <f>-0.423374+0.755687-2.938108-0.651169+1.240208+1.106449</f>
        <v>-0.91030699999999998</v>
      </c>
      <c r="H209" s="82">
        <f>-1.039152+1.4494-2.00751+0.079201+0.914186+1.20488</f>
        <v>0.60100500000000012</v>
      </c>
      <c r="I209" s="82">
        <f>-1.795246+2.506815-1.702606+1.719154+1.717089+1.248091</f>
        <v>3.6932970000000003</v>
      </c>
      <c r="J209" s="82">
        <f>-5.220606+1.211884-0.964266+1.642379+0.647681+0.821716</f>
        <v>-1.861212000000001</v>
      </c>
      <c r="K209" s="82">
        <f>6.663586-5.037735-1.690985-0.856824+0.515645+1.034237</f>
        <v>0.62792400000000004</v>
      </c>
      <c r="L209" s="82">
        <f>0.203865-1.112526-1.683314-1.761778+0.261509+1.23172</f>
        <v>-2.860523999999999</v>
      </c>
      <c r="M209" s="82">
        <f>2.472415-4.010695-0.979092+0.558598+1.824854+1.302715</f>
        <v>1.1687949999999996</v>
      </c>
      <c r="N209" s="82">
        <f>-6.435372+0.11848-1.476814+3.231717-0.49542+2.687474+0.000004</f>
        <v>-2.3699310000000007</v>
      </c>
      <c r="O209" s="82">
        <f>-0.942968+0.555137+2.076541-0.141181+1.520816+0.000004</f>
        <v>3.068349</v>
      </c>
      <c r="P209" s="178">
        <f>(O152+O154-O180)-(P152+P154-P180)</f>
        <v>5.6793303297125064E-2</v>
      </c>
      <c r="Q209" s="178">
        <f>(P152+P154-P180)-(Q152+Q154-Q180)</f>
        <v>6.8717159592873589</v>
      </c>
      <c r="R209" s="178">
        <f t="shared" ref="R209:S209" si="99">(Q152+Q154-Q180)-(R152+R154-R180)</f>
        <v>0.87737456123355528</v>
      </c>
      <c r="S209" s="178">
        <f t="shared" si="99"/>
        <v>1.8343409911328195</v>
      </c>
    </row>
    <row r="210" spans="2:23" ht="18" x14ac:dyDescent="0.25">
      <c r="B210" s="21" t="s">
        <v>28</v>
      </c>
      <c r="C210" s="87">
        <f t="shared" ref="C210:H210" si="100">+SUM(C208:C209)</f>
        <v>10.383491000000008</v>
      </c>
      <c r="D210" s="87">
        <f t="shared" si="100"/>
        <v>17.830371000000003</v>
      </c>
      <c r="E210" s="87">
        <f t="shared" si="100"/>
        <v>5.0114929999999971</v>
      </c>
      <c r="F210" s="87">
        <f t="shared" si="100"/>
        <v>3.7451869999999996</v>
      </c>
      <c r="G210" s="87">
        <f t="shared" si="100"/>
        <v>3.1283500000000006</v>
      </c>
      <c r="H210" s="87">
        <f t="shared" si="100"/>
        <v>1.682264</v>
      </c>
      <c r="I210" s="87">
        <f t="shared" ref="I210:J210" si="101">+SUM(I208:I209)</f>
        <v>4.2974590000000017</v>
      </c>
      <c r="J210" s="87">
        <f t="shared" si="101"/>
        <v>-2.1787499999999995</v>
      </c>
      <c r="K210" s="87">
        <f>+SUM(K208:K209)</f>
        <v>3.0309080000000024</v>
      </c>
      <c r="L210" s="87">
        <f t="shared" ref="L210:S210" si="102">+SUM(L208:L209)</f>
        <v>-5.2346000000000448E-2</v>
      </c>
      <c r="M210" s="87">
        <f t="shared" si="102"/>
        <v>4.5375599999999991</v>
      </c>
      <c r="N210" s="87">
        <f t="shared" si="102"/>
        <v>-1.6139920000000023</v>
      </c>
      <c r="O210" s="87">
        <f t="shared" si="102"/>
        <v>6.6632770000000008</v>
      </c>
      <c r="P210" s="179">
        <f t="shared" si="102"/>
        <v>4.7394704534969732</v>
      </c>
      <c r="Q210" s="179">
        <f t="shared" si="102"/>
        <v>13.302684333233806</v>
      </c>
      <c r="R210" s="179">
        <f t="shared" si="102"/>
        <v>8.4634383996550042</v>
      </c>
      <c r="S210" s="179">
        <f t="shared" si="102"/>
        <v>10.923637716484379</v>
      </c>
    </row>
    <row r="211" spans="2:23" s="77" customFormat="1" ht="15" customHeight="1" x14ac:dyDescent="0.2">
      <c r="B211" s="76" t="s">
        <v>162</v>
      </c>
      <c r="C211" s="82">
        <v>0</v>
      </c>
      <c r="D211" s="82">
        <v>0</v>
      </c>
      <c r="E211" s="82">
        <v>0</v>
      </c>
      <c r="F211" s="82">
        <v>0</v>
      </c>
      <c r="G211" s="82">
        <v>0</v>
      </c>
      <c r="H211" s="82">
        <v>0</v>
      </c>
      <c r="I211" s="82">
        <v>0</v>
      </c>
      <c r="J211" s="82" t="s">
        <v>91</v>
      </c>
      <c r="K211" s="82">
        <v>-1.175</v>
      </c>
      <c r="L211" s="82">
        <v>0</v>
      </c>
      <c r="M211" s="82">
        <v>0</v>
      </c>
      <c r="N211" s="82">
        <v>-2.5</v>
      </c>
      <c r="O211" s="82">
        <v>-1.7975099999999999</v>
      </c>
      <c r="P211" s="178"/>
      <c r="Q211" s="178"/>
      <c r="R211" s="178"/>
      <c r="S211" s="178"/>
      <c r="T211" s="101"/>
      <c r="U211" s="101"/>
      <c r="V211" s="101"/>
      <c r="W211" s="101"/>
    </row>
    <row r="212" spans="2:23" s="77" customFormat="1" ht="15" customHeight="1" x14ac:dyDescent="0.2">
      <c r="B212" s="76" t="s">
        <v>163</v>
      </c>
      <c r="C212" s="82">
        <v>-2.6367000000000002E-2</v>
      </c>
      <c r="D212" s="82">
        <v>-2.7595000000000001E-2</v>
      </c>
      <c r="E212" s="82">
        <v>-0.13844500000000001</v>
      </c>
      <c r="F212" s="82">
        <v>-8.7058999999999997E-2</v>
      </c>
      <c r="G212" s="82">
        <v>-3.9419999999999997E-2</v>
      </c>
      <c r="H212" s="82">
        <v>-8.6753999999999998E-2</v>
      </c>
      <c r="I212" s="82">
        <v>-6.9982000000000003E-2</v>
      </c>
      <c r="J212" s="82">
        <v>-9.5219999999999992E-3</v>
      </c>
      <c r="K212" s="82">
        <v>-3.5126999999999999E-2</v>
      </c>
      <c r="L212" s="82">
        <v>-0.110693</v>
      </c>
      <c r="M212" s="82">
        <v>-0.19677800000000001</v>
      </c>
      <c r="N212" s="82">
        <v>-0.21886700000000001</v>
      </c>
      <c r="O212" s="82">
        <v>-0.44519700000000001</v>
      </c>
      <c r="P212" s="180">
        <v>-0.1</v>
      </c>
      <c r="Q212" s="180">
        <v>-0.1</v>
      </c>
      <c r="R212" s="180">
        <v>-0.1</v>
      </c>
      <c r="S212" s="180">
        <v>-0.1</v>
      </c>
    </row>
    <row r="213" spans="2:23" s="77" customFormat="1" ht="15" customHeight="1" x14ac:dyDescent="0.2">
      <c r="B213" s="76" t="s">
        <v>164</v>
      </c>
      <c r="C213" s="82">
        <v>0</v>
      </c>
      <c r="D213" s="82">
        <v>0</v>
      </c>
      <c r="E213" s="82">
        <v>-8.5679999999999992E-3</v>
      </c>
      <c r="F213" s="82">
        <v>-0.17081099999999999</v>
      </c>
      <c r="G213" s="82">
        <v>-0.179036</v>
      </c>
      <c r="H213" s="82">
        <v>-0.1452</v>
      </c>
      <c r="I213" s="82">
        <v>-2.8600000000000001E-4</v>
      </c>
      <c r="J213" s="82">
        <v>-0.13295999999999999</v>
      </c>
      <c r="K213" s="82">
        <v>0</v>
      </c>
      <c r="L213" s="82">
        <v>-0.10238999999999999</v>
      </c>
      <c r="M213" s="82">
        <v>-2.9287000000000001E-2</v>
      </c>
      <c r="N213" s="82">
        <v>-1.6022780000000001</v>
      </c>
      <c r="O213" s="82">
        <v>-8.5975999999999997E-2</v>
      </c>
      <c r="P213" s="180">
        <f>-P146+O146</f>
        <v>-3.6364776077319618</v>
      </c>
      <c r="Q213" s="180">
        <f t="shared" ref="Q213:S213" si="103">-Q146+P146</f>
        <v>-2.3329371303865969</v>
      </c>
      <c r="R213" s="180">
        <f t="shared" si="103"/>
        <v>-2.4495839869059282</v>
      </c>
      <c r="S213" s="180">
        <f t="shared" si="103"/>
        <v>-2.5720631862512278</v>
      </c>
    </row>
    <row r="214" spans="2:23" s="77" customFormat="1" ht="15" customHeight="1" x14ac:dyDescent="0.2">
      <c r="B214" s="76" t="s">
        <v>165</v>
      </c>
      <c r="C214" s="82">
        <v>-7.2800000000000002E-4</v>
      </c>
      <c r="D214" s="82">
        <v>-1.4926E-2</v>
      </c>
      <c r="E214" s="82">
        <v>-1.567E-3</v>
      </c>
      <c r="F214" s="82">
        <v>-5.4330000000000003E-3</v>
      </c>
      <c r="G214" s="82">
        <v>-4.3899999999999999E-4</v>
      </c>
      <c r="H214" s="82">
        <v>-9.2239999999999996E-3</v>
      </c>
      <c r="I214" s="82">
        <v>-2.1520630000000001</v>
      </c>
      <c r="J214" s="82">
        <v>-0.19938500000000001</v>
      </c>
      <c r="K214" s="82">
        <v>-1.474E-2</v>
      </c>
      <c r="L214" s="82">
        <v>-2.2643E-2</v>
      </c>
      <c r="M214" s="82">
        <v>-1.8779999999999999E-3</v>
      </c>
      <c r="N214" s="82">
        <v>-2.6199999999999999E-3</v>
      </c>
      <c r="O214" s="82">
        <v>-1.3251000000000001E-2</v>
      </c>
      <c r="P214" s="180">
        <v>-0.02</v>
      </c>
      <c r="Q214" s="180">
        <v>-0.02</v>
      </c>
      <c r="R214" s="180">
        <v>-0.02</v>
      </c>
      <c r="S214" s="180">
        <v>-0.02</v>
      </c>
    </row>
    <row r="215" spans="2:23" s="77" customFormat="1" ht="15" customHeight="1" x14ac:dyDescent="0.2">
      <c r="B215" s="76" t="s">
        <v>166</v>
      </c>
      <c r="C215" s="82">
        <v>0</v>
      </c>
      <c r="D215" s="82">
        <v>-0.33623199999999998</v>
      </c>
      <c r="E215" s="82">
        <v>-2.8800000000000002E-3</v>
      </c>
      <c r="F215" s="82">
        <f>-0.006835</f>
        <v>-6.8349999999999999E-3</v>
      </c>
      <c r="G215" s="82">
        <f>-0.041139</f>
        <v>-4.1139000000000002E-2</v>
      </c>
      <c r="H215" s="82">
        <v>-3.6999999999999998E-2</v>
      </c>
      <c r="I215" s="82">
        <v>0</v>
      </c>
      <c r="J215" s="82">
        <v>0</v>
      </c>
      <c r="K215" s="82">
        <v>-1.1299999999999999E-2</v>
      </c>
      <c r="L215" s="82">
        <v>0</v>
      </c>
      <c r="M215" s="82">
        <v>-1.4999999999999999E-2</v>
      </c>
      <c r="N215" s="82">
        <v>-4.0149999999999998E-2</v>
      </c>
      <c r="O215" s="82">
        <v>7.7218999999999996E-2</v>
      </c>
      <c r="P215" s="180"/>
      <c r="Q215" s="180"/>
      <c r="R215" s="180"/>
      <c r="S215" s="180"/>
    </row>
    <row r="216" spans="2:23" s="77" customFormat="1" ht="15" customHeight="1" x14ac:dyDescent="0.2">
      <c r="B216" s="76" t="s">
        <v>167</v>
      </c>
      <c r="C216" s="82">
        <v>6.0197000000000001E-2</v>
      </c>
      <c r="D216" s="82">
        <v>0.10175099999999999</v>
      </c>
      <c r="E216" s="82">
        <v>0.89500000000000002</v>
      </c>
      <c r="F216" s="82">
        <v>1.34</v>
      </c>
      <c r="G216" s="82">
        <v>0.68400000000000005</v>
      </c>
      <c r="H216" s="82">
        <v>0</v>
      </c>
      <c r="I216" s="82">
        <v>0</v>
      </c>
      <c r="J216" s="82">
        <v>0</v>
      </c>
      <c r="K216" s="82">
        <v>0.59199999999999997</v>
      </c>
      <c r="L216" s="82">
        <v>2.2465000000000002</v>
      </c>
      <c r="M216" s="82">
        <v>0</v>
      </c>
      <c r="N216" s="82">
        <v>0</v>
      </c>
      <c r="O216" s="82">
        <v>0</v>
      </c>
      <c r="P216" s="180"/>
      <c r="Q216" s="180"/>
      <c r="R216" s="180"/>
      <c r="S216" s="180"/>
    </row>
    <row r="217" spans="2:23" s="77" customFormat="1" ht="15" customHeight="1" x14ac:dyDescent="0.2">
      <c r="B217" s="76" t="s">
        <v>247</v>
      </c>
      <c r="C217" s="82">
        <v>1.5178000000000001E-2</v>
      </c>
      <c r="D217" s="82">
        <v>0</v>
      </c>
      <c r="E217" s="82">
        <v>0</v>
      </c>
      <c r="F217" s="82">
        <v>0.15</v>
      </c>
      <c r="G217" s="82">
        <v>0</v>
      </c>
      <c r="H217" s="82">
        <v>0</v>
      </c>
      <c r="I217" s="82">
        <v>0</v>
      </c>
      <c r="J217" s="82">
        <v>0</v>
      </c>
      <c r="K217" s="82">
        <v>0</v>
      </c>
      <c r="L217" s="82">
        <v>0</v>
      </c>
      <c r="M217" s="82">
        <v>2.7049999999999999E-3</v>
      </c>
      <c r="N217" s="82">
        <v>1.3649999999999999E-3</v>
      </c>
      <c r="O217" s="82">
        <v>0</v>
      </c>
      <c r="P217" s="180"/>
      <c r="Q217" s="180"/>
      <c r="R217" s="180"/>
      <c r="S217" s="180"/>
    </row>
    <row r="218" spans="2:23" s="77" customFormat="1" ht="15" customHeight="1" x14ac:dyDescent="0.2">
      <c r="B218" s="76" t="s">
        <v>168</v>
      </c>
      <c r="C218" s="82">
        <v>0</v>
      </c>
      <c r="D218" s="82">
        <v>0</v>
      </c>
      <c r="E218" s="82">
        <v>4.0000000000000001E-3</v>
      </c>
      <c r="F218" s="82">
        <v>1.1850000000000001E-3</v>
      </c>
      <c r="G218" s="82">
        <v>-1.0499999999999999E-3</v>
      </c>
      <c r="H218" s="82">
        <v>0.02</v>
      </c>
      <c r="I218" s="82">
        <v>0.108181</v>
      </c>
      <c r="J218" s="82">
        <v>0.33150000000000002</v>
      </c>
      <c r="K218" s="82">
        <v>7.6E-3</v>
      </c>
      <c r="L218" s="82">
        <v>3.0088E-2</v>
      </c>
      <c r="M218" s="82">
        <v>0</v>
      </c>
      <c r="N218" s="82">
        <v>0</v>
      </c>
      <c r="O218" s="82">
        <v>0</v>
      </c>
      <c r="P218" s="180"/>
      <c r="Q218" s="180"/>
      <c r="R218" s="180"/>
      <c r="S218" s="180"/>
    </row>
    <row r="219" spans="2:23" ht="18" x14ac:dyDescent="0.25">
      <c r="B219" s="21" t="s">
        <v>29</v>
      </c>
      <c r="C219" s="87">
        <f t="shared" ref="C219:J219" si="104">SUM(C211:C218)</f>
        <v>4.8280000000000003E-2</v>
      </c>
      <c r="D219" s="87">
        <f t="shared" si="104"/>
        <v>-0.27700200000000003</v>
      </c>
      <c r="E219" s="87">
        <f t="shared" si="104"/>
        <v>0.74753999999999998</v>
      </c>
      <c r="F219" s="87">
        <f t="shared" si="104"/>
        <v>1.221047</v>
      </c>
      <c r="G219" s="87">
        <f t="shared" si="104"/>
        <v>0.42291600000000007</v>
      </c>
      <c r="H219" s="87">
        <f t="shared" si="104"/>
        <v>-0.25817799999999996</v>
      </c>
      <c r="I219" s="87">
        <f t="shared" si="104"/>
        <v>-2.11415</v>
      </c>
      <c r="J219" s="87">
        <f t="shared" si="104"/>
        <v>-1.0367000000000015E-2</v>
      </c>
      <c r="K219" s="87">
        <f>SUM(K211:K218)</f>
        <v>-0.63656699999999999</v>
      </c>
      <c r="L219" s="87">
        <f>SUM(L211:L218)</f>
        <v>2.0408620000000002</v>
      </c>
      <c r="M219" s="87">
        <f>SUM(M211:M218)</f>
        <v>-0.24023800000000001</v>
      </c>
      <c r="N219" s="87">
        <f>SUM(N211:N218)</f>
        <v>-4.3625499999999997</v>
      </c>
      <c r="O219" s="87">
        <f>SUM(O211:O218)</f>
        <v>-2.2647149999999998</v>
      </c>
      <c r="P219" s="176">
        <f t="shared" ref="P219:S219" si="105">SUM(P211:P218)</f>
        <v>-3.7564776077319619</v>
      </c>
      <c r="Q219" s="176">
        <f t="shared" si="105"/>
        <v>-2.452937130386597</v>
      </c>
      <c r="R219" s="176">
        <f t="shared" si="105"/>
        <v>-2.5695839869059283</v>
      </c>
      <c r="S219" s="176">
        <f t="shared" si="105"/>
        <v>-2.6920631862512279</v>
      </c>
    </row>
    <row r="220" spans="2:23" x14ac:dyDescent="0.25">
      <c r="B220" s="51" t="s">
        <v>169</v>
      </c>
      <c r="C220" s="82">
        <v>-2.0064679999999999</v>
      </c>
      <c r="D220" s="82">
        <v>-1.2389300000000001</v>
      </c>
      <c r="E220" s="82">
        <v>-0.56083799999999995</v>
      </c>
      <c r="F220" s="82">
        <v>-1.991436</v>
      </c>
      <c r="G220" s="82">
        <v>-0.90535200000000005</v>
      </c>
      <c r="H220" s="82">
        <v>-0.98719999999999997</v>
      </c>
      <c r="I220" s="82">
        <v>-1.1045879999999999</v>
      </c>
      <c r="J220" s="82">
        <v>-0.68598499999999996</v>
      </c>
      <c r="K220" s="82">
        <v>-1.136004</v>
      </c>
      <c r="L220" s="82">
        <v>-1.263287</v>
      </c>
      <c r="M220" s="82">
        <v>-1.986415</v>
      </c>
      <c r="N220" s="82">
        <v>-2.6029209999999998</v>
      </c>
      <c r="O220" s="82">
        <v>-1.9215739999999999</v>
      </c>
      <c r="P220" s="177">
        <f t="shared" ref="P220:S220" si="106">-P200</f>
        <v>0</v>
      </c>
      <c r="Q220" s="177">
        <f t="shared" si="106"/>
        <v>0</v>
      </c>
      <c r="R220" s="177">
        <f t="shared" si="106"/>
        <v>0</v>
      </c>
      <c r="S220" s="177">
        <f t="shared" si="106"/>
        <v>0</v>
      </c>
    </row>
    <row r="221" spans="2:23" x14ac:dyDescent="0.25">
      <c r="B221" s="51" t="s">
        <v>170</v>
      </c>
      <c r="C221" s="82">
        <v>-1.2966999999999999E-2</v>
      </c>
      <c r="D221" s="82">
        <v>3.0082999999999999E-2</v>
      </c>
      <c r="E221" s="82">
        <v>-1.8478000000000001E-2</v>
      </c>
      <c r="F221" s="82">
        <v>5.1449000000000002E-2</v>
      </c>
      <c r="G221" s="82">
        <v>9.1059000000000001E-2</v>
      </c>
      <c r="H221" s="82">
        <v>2.8309000000000001E-2</v>
      </c>
      <c r="I221" s="82">
        <v>5.0422000000000002E-2</v>
      </c>
      <c r="J221" s="82">
        <v>5.2504000000000002E-2</v>
      </c>
      <c r="K221" s="82">
        <f>0.036185</f>
        <v>3.6185000000000002E-2</v>
      </c>
      <c r="L221" s="82">
        <v>0.24546200000000001</v>
      </c>
      <c r="M221" s="82">
        <v>2.8854000000000001E-2</v>
      </c>
      <c r="N221" s="82">
        <v>-0.16853499999999999</v>
      </c>
      <c r="O221" s="82">
        <v>0.26002599999999998</v>
      </c>
      <c r="P221" s="177"/>
      <c r="Q221" s="177"/>
      <c r="R221" s="177"/>
      <c r="S221" s="177"/>
    </row>
    <row r="222" spans="2:23" x14ac:dyDescent="0.25">
      <c r="B222" s="112" t="s">
        <v>173</v>
      </c>
      <c r="C222" s="82">
        <v>6.1193619999999997</v>
      </c>
      <c r="D222" s="82">
        <v>0.487485</v>
      </c>
      <c r="E222" s="82">
        <v>3.024969</v>
      </c>
      <c r="F222" s="82">
        <v>0.50727299999999997</v>
      </c>
      <c r="G222" s="82">
        <v>5.0528680000000001</v>
      </c>
      <c r="H222" s="82">
        <v>6.2743859999999998</v>
      </c>
      <c r="I222" s="82">
        <v>4.0677919999999999</v>
      </c>
      <c r="J222" s="82">
        <v>9.0745319999999996</v>
      </c>
      <c r="K222" s="82">
        <v>6.9887439999999996</v>
      </c>
      <c r="L222" s="82">
        <v>4.6084019999999999</v>
      </c>
      <c r="M222" s="82">
        <v>9.0359510000000007</v>
      </c>
      <c r="N222" s="82">
        <f>18.024025</f>
        <v>18.024025000000002</v>
      </c>
      <c r="O222" s="82">
        <v>12.556888000000001</v>
      </c>
      <c r="P222" s="177"/>
      <c r="Q222" s="177"/>
      <c r="R222" s="177"/>
      <c r="S222" s="177"/>
    </row>
    <row r="223" spans="2:23" x14ac:dyDescent="0.25">
      <c r="B223" s="112" t="s">
        <v>171</v>
      </c>
      <c r="C223" s="82">
        <v>0</v>
      </c>
      <c r="D223" s="82">
        <v>0</v>
      </c>
      <c r="E223" s="82">
        <v>0</v>
      </c>
      <c r="F223" s="82">
        <v>0</v>
      </c>
      <c r="G223" s="82">
        <v>0</v>
      </c>
      <c r="H223" s="82">
        <v>0</v>
      </c>
      <c r="I223" s="82">
        <v>2.0245959999999998</v>
      </c>
      <c r="J223" s="82">
        <v>0.21843299999999999</v>
      </c>
      <c r="K223" s="82">
        <v>1.1299999999999999E-2</v>
      </c>
      <c r="L223" s="82">
        <v>0</v>
      </c>
      <c r="M223" s="82">
        <v>1.8100000000000002E-2</v>
      </c>
      <c r="N223" s="82">
        <f>0.822396+0.117</f>
        <v>0.93939600000000001</v>
      </c>
      <c r="O223" s="82">
        <v>0.192694</v>
      </c>
      <c r="P223" s="177"/>
      <c r="Q223" s="177"/>
      <c r="R223" s="177"/>
      <c r="S223" s="177"/>
    </row>
    <row r="224" spans="2:23" x14ac:dyDescent="0.25">
      <c r="B224" s="112" t="s">
        <v>174</v>
      </c>
      <c r="C224" s="82">
        <v>-14.840742000000001</v>
      </c>
      <c r="D224" s="82">
        <v>-16.166343999999999</v>
      </c>
      <c r="E224" s="82">
        <v>-8.3929299999999998</v>
      </c>
      <c r="F224" s="82">
        <v>-1.8356049999999999</v>
      </c>
      <c r="G224" s="82">
        <v>-5.3152819999999998</v>
      </c>
      <c r="H224" s="82">
        <v>-7.1574140000000002</v>
      </c>
      <c r="I224" s="82">
        <v>-3.189581</v>
      </c>
      <c r="J224" s="82">
        <v>-5.7088020000000004</v>
      </c>
      <c r="K224" s="82">
        <v>-11.064185</v>
      </c>
      <c r="L224" s="82">
        <v>-7.4582629999999996</v>
      </c>
      <c r="M224" s="82">
        <v>-13.404002</v>
      </c>
      <c r="N224" s="82">
        <f>-10.462797-0.216</f>
        <v>-10.678796999999999</v>
      </c>
      <c r="O224" s="82">
        <f>-13.882765-0.49</f>
        <v>-14.372764999999999</v>
      </c>
      <c r="P224" s="177"/>
      <c r="Q224" s="177"/>
      <c r="R224" s="177"/>
      <c r="S224" s="177"/>
    </row>
    <row r="225" spans="2:21" x14ac:dyDescent="0.25">
      <c r="B225" s="112" t="s">
        <v>236</v>
      </c>
      <c r="C225" s="82">
        <v>0</v>
      </c>
      <c r="D225" s="82">
        <v>0</v>
      </c>
      <c r="E225" s="82">
        <v>0</v>
      </c>
      <c r="F225" s="82">
        <v>0</v>
      </c>
      <c r="G225" s="82">
        <v>0</v>
      </c>
      <c r="H225" s="82">
        <v>0</v>
      </c>
      <c r="I225" s="82">
        <f>0.0051-0.00376</f>
        <v>1.3400000000000005E-3</v>
      </c>
      <c r="J225" s="82" t="s">
        <v>91</v>
      </c>
      <c r="K225" s="82" t="s">
        <v>91</v>
      </c>
      <c r="L225" s="82" t="s">
        <v>91</v>
      </c>
      <c r="M225" s="82">
        <v>0</v>
      </c>
      <c r="N225" s="82">
        <v>0</v>
      </c>
      <c r="O225" s="82">
        <v>0</v>
      </c>
      <c r="P225" s="177"/>
      <c r="Q225" s="177"/>
      <c r="R225" s="177"/>
      <c r="S225" s="177"/>
    </row>
    <row r="226" spans="2:21" x14ac:dyDescent="0.25">
      <c r="B226" s="112" t="s">
        <v>142</v>
      </c>
      <c r="C226" s="208" t="s">
        <v>260</v>
      </c>
      <c r="D226" s="209"/>
      <c r="E226" s="209"/>
      <c r="F226" s="209"/>
      <c r="G226" s="209"/>
      <c r="H226" s="209"/>
      <c r="I226" s="209"/>
      <c r="J226" s="209"/>
      <c r="K226" s="209"/>
      <c r="L226" s="209"/>
      <c r="M226" s="209"/>
      <c r="N226" s="209"/>
      <c r="O226" s="210"/>
      <c r="P226" s="177">
        <f>-P127</f>
        <v>-1</v>
      </c>
      <c r="Q226" s="177">
        <f>-Q127</f>
        <v>-1</v>
      </c>
      <c r="R226" s="177">
        <f>-R127-R128</f>
        <v>-1</v>
      </c>
      <c r="S226" s="177">
        <f>-S127-S128</f>
        <v>-4</v>
      </c>
    </row>
    <row r="227" spans="2:21" ht="18" x14ac:dyDescent="0.25">
      <c r="B227" s="21" t="s">
        <v>30</v>
      </c>
      <c r="C227" s="87">
        <f t="shared" ref="C227:S227" si="107">SUM(C220:C226)</f>
        <v>-10.740815000000001</v>
      </c>
      <c r="D227" s="87">
        <f t="shared" si="107"/>
        <v>-16.887705999999998</v>
      </c>
      <c r="E227" s="87">
        <f t="shared" si="107"/>
        <v>-5.9472769999999997</v>
      </c>
      <c r="F227" s="87">
        <f t="shared" si="107"/>
        <v>-3.268319</v>
      </c>
      <c r="G227" s="87">
        <f t="shared" si="107"/>
        <v>-1.0767069999999999</v>
      </c>
      <c r="H227" s="87">
        <f t="shared" si="107"/>
        <v>-1.8419189999999999</v>
      </c>
      <c r="I227" s="87">
        <f t="shared" si="107"/>
        <v>1.8499809999999992</v>
      </c>
      <c r="J227" s="87">
        <f t="shared" si="107"/>
        <v>2.9506819999999987</v>
      </c>
      <c r="K227" s="87">
        <f t="shared" si="107"/>
        <v>-5.1639600000000003</v>
      </c>
      <c r="L227" s="87">
        <f t="shared" si="107"/>
        <v>-3.867686</v>
      </c>
      <c r="M227" s="87">
        <f t="shared" ref="M227:O227" si="108">SUM(M220:M226)</f>
        <v>-6.307512</v>
      </c>
      <c r="N227" s="87">
        <f t="shared" si="108"/>
        <v>5.5131680000000003</v>
      </c>
      <c r="O227" s="87">
        <f t="shared" si="108"/>
        <v>-3.284730999999999</v>
      </c>
      <c r="P227" s="179">
        <f t="shared" si="107"/>
        <v>-1</v>
      </c>
      <c r="Q227" s="179">
        <f t="shared" si="107"/>
        <v>-1</v>
      </c>
      <c r="R227" s="179">
        <f t="shared" si="107"/>
        <v>-1</v>
      </c>
      <c r="S227" s="179">
        <f t="shared" si="107"/>
        <v>-4</v>
      </c>
    </row>
    <row r="228" spans="2:21" x14ac:dyDescent="0.25">
      <c r="B228" s="17" t="s">
        <v>58</v>
      </c>
      <c r="C228" s="82">
        <v>-2.7651999999999999E-2</v>
      </c>
      <c r="D228" s="82">
        <v>3.2752999999999997E-2</v>
      </c>
      <c r="E228" s="82">
        <v>4.1389000000000002E-2</v>
      </c>
      <c r="F228" s="82">
        <v>2.9367000000000001E-2</v>
      </c>
      <c r="G228" s="82">
        <v>-6.6207000000000002E-2</v>
      </c>
      <c r="H228" s="82">
        <v>8.3469000000000002E-2</v>
      </c>
      <c r="I228" s="82">
        <v>6.8475999999999995E-2</v>
      </c>
      <c r="J228" s="82">
        <v>-0.173683</v>
      </c>
      <c r="K228" s="82">
        <v>0.19006600000000001</v>
      </c>
      <c r="L228" s="82">
        <v>0.12522800000000001</v>
      </c>
      <c r="M228" s="82">
        <v>0.151777</v>
      </c>
      <c r="N228" s="82">
        <v>0.111439</v>
      </c>
      <c r="O228" s="82">
        <v>-0.102461</v>
      </c>
      <c r="P228" s="177">
        <v>0</v>
      </c>
      <c r="Q228" s="177">
        <v>0</v>
      </c>
      <c r="R228" s="177">
        <v>0</v>
      </c>
      <c r="S228" s="177">
        <v>0</v>
      </c>
    </row>
    <row r="229" spans="2:21" ht="18" x14ac:dyDescent="0.25">
      <c r="B229" s="21"/>
      <c r="C229" s="21"/>
      <c r="D229" s="21"/>
      <c r="E229" s="21"/>
      <c r="F229" s="21"/>
      <c r="G229" s="21"/>
      <c r="H229" s="21"/>
      <c r="I229" s="21"/>
      <c r="J229" s="21"/>
      <c r="K229" s="21"/>
      <c r="L229" s="21"/>
      <c r="M229" s="21"/>
      <c r="N229" s="207"/>
      <c r="O229" s="21"/>
      <c r="P229" s="21"/>
      <c r="Q229" s="21"/>
      <c r="R229" s="106"/>
      <c r="S229" s="106"/>
    </row>
    <row r="230" spans="2:21" ht="18" x14ac:dyDescent="0.25">
      <c r="B230" s="21" t="s">
        <v>31</v>
      </c>
      <c r="C230" s="87">
        <f t="shared" ref="C230:S230" si="109">+SUM(C210,C219,C227,C228)</f>
        <v>-0.336695999999993</v>
      </c>
      <c r="D230" s="87">
        <f t="shared" si="109"/>
        <v>0.6984160000000057</v>
      </c>
      <c r="E230" s="87">
        <f t="shared" si="109"/>
        <v>-0.14685500000000273</v>
      </c>
      <c r="F230" s="87">
        <f t="shared" si="109"/>
        <v>1.727282</v>
      </c>
      <c r="G230" s="87">
        <f t="shared" si="109"/>
        <v>2.4083520000000012</v>
      </c>
      <c r="H230" s="87">
        <f t="shared" si="109"/>
        <v>-0.33436399999999988</v>
      </c>
      <c r="I230" s="87">
        <f t="shared" si="109"/>
        <v>4.1017660000000014</v>
      </c>
      <c r="J230" s="87">
        <f t="shared" si="109"/>
        <v>0.58788199999999913</v>
      </c>
      <c r="K230" s="87">
        <f t="shared" si="109"/>
        <v>-2.579552999999998</v>
      </c>
      <c r="L230" s="87">
        <f t="shared" si="109"/>
        <v>-1.7539420000000003</v>
      </c>
      <c r="M230" s="87">
        <f t="shared" si="109"/>
        <v>-1.8584130000000005</v>
      </c>
      <c r="N230" s="87">
        <f>+SUM(N210,N219,N227,N228)+0.0000079999999863235</f>
        <v>-0.35192700000001542</v>
      </c>
      <c r="O230" s="87">
        <f t="shared" ref="O230" si="110">+SUM(O210,O219,O227,O228)</f>
        <v>1.0113700000000021</v>
      </c>
      <c r="P230" s="92">
        <f t="shared" si="109"/>
        <v>-1.7007154234988775E-2</v>
      </c>
      <c r="Q230" s="92">
        <f t="shared" si="109"/>
        <v>9.8497472028472082</v>
      </c>
      <c r="R230" s="92">
        <f t="shared" si="109"/>
        <v>4.893854412749076</v>
      </c>
      <c r="S230" s="92">
        <f t="shared" si="109"/>
        <v>4.23157453023315</v>
      </c>
      <c r="U230" s="69"/>
    </row>
    <row r="231" spans="2:21" x14ac:dyDescent="0.25">
      <c r="B231" s="76" t="s">
        <v>32</v>
      </c>
      <c r="C231" s="82">
        <v>1.389149</v>
      </c>
      <c r="D231" s="82">
        <f>+C232</f>
        <v>1.052453000000007</v>
      </c>
      <c r="E231" s="82">
        <f t="shared" ref="E231:O231" si="111">+D232</f>
        <v>1.7508690000000127</v>
      </c>
      <c r="F231" s="82">
        <f t="shared" si="111"/>
        <v>1.60401400000001</v>
      </c>
      <c r="G231" s="82">
        <f t="shared" si="111"/>
        <v>3.3312960000000098</v>
      </c>
      <c r="H231" s="82">
        <f t="shared" si="111"/>
        <v>5.7396480000000114</v>
      </c>
      <c r="I231" s="82">
        <f t="shared" si="111"/>
        <v>5.4052840000000115</v>
      </c>
      <c r="J231" s="82">
        <f t="shared" si="111"/>
        <v>9.5070500000000138</v>
      </c>
      <c r="K231" s="82">
        <f t="shared" si="111"/>
        <v>10.094932000000012</v>
      </c>
      <c r="L231" s="82">
        <f t="shared" si="111"/>
        <v>7.5153790000000145</v>
      </c>
      <c r="M231" s="82">
        <f t="shared" si="111"/>
        <v>5.7614370000000141</v>
      </c>
      <c r="N231" s="82">
        <f t="shared" si="111"/>
        <v>3.9030240000000136</v>
      </c>
      <c r="O231" s="82">
        <f t="shared" si="111"/>
        <v>3.5510969999999982</v>
      </c>
      <c r="P231" s="57">
        <f>O156</f>
        <v>4.5624669999999998</v>
      </c>
      <c r="Q231" s="57">
        <f t="shared" ref="Q231:S231" si="112">P156</f>
        <v>4.5454598457650111</v>
      </c>
      <c r="R231" s="57">
        <f t="shared" si="112"/>
        <v>14.395207048612219</v>
      </c>
      <c r="S231" s="57">
        <f t="shared" si="112"/>
        <v>19.289061461361296</v>
      </c>
      <c r="T231" s="72"/>
      <c r="U231" s="69"/>
    </row>
    <row r="232" spans="2:21" ht="18" x14ac:dyDescent="0.25">
      <c r="B232" s="21" t="s">
        <v>33</v>
      </c>
      <c r="C232" s="87">
        <f t="shared" ref="C232:H232" si="113">+SUM(C230:C231)</f>
        <v>1.052453000000007</v>
      </c>
      <c r="D232" s="87">
        <f t="shared" si="113"/>
        <v>1.7508690000000127</v>
      </c>
      <c r="E232" s="87">
        <f t="shared" si="113"/>
        <v>1.60401400000001</v>
      </c>
      <c r="F232" s="87">
        <f t="shared" si="113"/>
        <v>3.3312960000000098</v>
      </c>
      <c r="G232" s="87">
        <f t="shared" si="113"/>
        <v>5.7396480000000114</v>
      </c>
      <c r="H232" s="87">
        <f t="shared" si="113"/>
        <v>5.4052840000000115</v>
      </c>
      <c r="I232" s="87">
        <f t="shared" ref="I232:J232" si="114">+SUM(I230:I231)</f>
        <v>9.5070500000000138</v>
      </c>
      <c r="J232" s="87">
        <f t="shared" si="114"/>
        <v>10.094932000000012</v>
      </c>
      <c r="K232" s="87">
        <f>+SUM(K230:K231)</f>
        <v>7.5153790000000145</v>
      </c>
      <c r="L232" s="87">
        <f t="shared" ref="L232:S232" si="115">+SUM(L230:L231)</f>
        <v>5.7614370000000141</v>
      </c>
      <c r="M232" s="87">
        <f t="shared" si="115"/>
        <v>3.9030240000000136</v>
      </c>
      <c r="N232" s="87">
        <f t="shared" ref="N232:O232" si="116">+SUM(N230:N231)</f>
        <v>3.5510969999999982</v>
      </c>
      <c r="O232" s="87">
        <f t="shared" si="116"/>
        <v>4.5624669999999998</v>
      </c>
      <c r="P232" s="92">
        <f t="shared" si="115"/>
        <v>4.5454598457650111</v>
      </c>
      <c r="Q232" s="92">
        <f t="shared" si="115"/>
        <v>14.395207048612219</v>
      </c>
      <c r="R232" s="92">
        <f t="shared" si="115"/>
        <v>19.289061461361296</v>
      </c>
      <c r="S232" s="92">
        <f t="shared" si="115"/>
        <v>23.520635991594446</v>
      </c>
      <c r="T232" s="72"/>
    </row>
    <row r="233" spans="2:21" ht="18.75" x14ac:dyDescent="0.4">
      <c r="B233" s="22"/>
      <c r="C233" s="61">
        <f t="shared" ref="C233:S233" si="117">+C232-C156</f>
        <v>-3.9999999930095953E-6</v>
      </c>
      <c r="D233" s="61">
        <f t="shared" si="117"/>
        <v>-4.9999999873762135E-6</v>
      </c>
      <c r="E233" s="61">
        <f t="shared" si="117"/>
        <v>-4.9999999900407488E-6</v>
      </c>
      <c r="F233" s="61">
        <f t="shared" si="117"/>
        <v>-2.9999999902052821E-6</v>
      </c>
      <c r="G233" s="61">
        <f t="shared" si="117"/>
        <v>-5.9999999884041699E-6</v>
      </c>
      <c r="H233" s="61">
        <f t="shared" si="117"/>
        <v>-4.999999988264392E-6</v>
      </c>
      <c r="I233" s="61">
        <f t="shared" si="117"/>
        <v>-4.9999999855998567E-6</v>
      </c>
      <c r="J233" s="61">
        <f t="shared" si="117"/>
        <v>-4.9999999873762135E-6</v>
      </c>
      <c r="K233" s="61">
        <f t="shared" si="117"/>
        <v>-4.9999999855998567E-6</v>
      </c>
      <c r="L233" s="61">
        <f t="shared" si="117"/>
        <v>-4.9999999855998567E-6</v>
      </c>
      <c r="M233" s="61">
        <f t="shared" si="117"/>
        <v>-6.9999999863235018E-6</v>
      </c>
      <c r="N233" s="61">
        <f t="shared" ref="N233:O233" si="118">+N232-N156</f>
        <v>0</v>
      </c>
      <c r="O233" s="61">
        <f t="shared" si="118"/>
        <v>0</v>
      </c>
      <c r="P233" s="61">
        <f t="shared" si="117"/>
        <v>0</v>
      </c>
      <c r="Q233" s="61">
        <f t="shared" si="117"/>
        <v>0</v>
      </c>
      <c r="R233" s="61">
        <f t="shared" si="117"/>
        <v>0</v>
      </c>
      <c r="S233" s="61">
        <f t="shared" si="117"/>
        <v>0</v>
      </c>
      <c r="T233" s="72"/>
    </row>
    <row r="234" spans="2:21" ht="18" x14ac:dyDescent="0.25">
      <c r="B234" s="21" t="s">
        <v>60</v>
      </c>
      <c r="C234" s="55">
        <f t="shared" ref="C234:M234" si="119">C210+C212+C214</f>
        <v>10.356396000000007</v>
      </c>
      <c r="D234" s="55">
        <f t="shared" si="119"/>
        <v>17.787850000000002</v>
      </c>
      <c r="E234" s="55">
        <f t="shared" si="119"/>
        <v>4.8714809999999975</v>
      </c>
      <c r="F234" s="55">
        <f t="shared" si="119"/>
        <v>3.6526949999999996</v>
      </c>
      <c r="G234" s="55">
        <f t="shared" si="119"/>
        <v>3.0884910000000008</v>
      </c>
      <c r="H234" s="55">
        <f t="shared" si="119"/>
        <v>1.5862860000000001</v>
      </c>
      <c r="I234" s="55">
        <f t="shared" si="119"/>
        <v>2.0754140000000012</v>
      </c>
      <c r="J234" s="55">
        <f t="shared" si="119"/>
        <v>-2.3876569999999995</v>
      </c>
      <c r="K234" s="55">
        <f t="shared" si="119"/>
        <v>2.9810410000000021</v>
      </c>
      <c r="L234" s="55">
        <f t="shared" si="119"/>
        <v>-0.18568200000000043</v>
      </c>
      <c r="M234" s="55">
        <f t="shared" si="119"/>
        <v>4.3389039999999994</v>
      </c>
      <c r="N234" s="55">
        <f t="shared" ref="N234:O234" si="120">N210+N212+N214</f>
        <v>-1.8354790000000023</v>
      </c>
      <c r="O234" s="55">
        <f t="shared" si="120"/>
        <v>6.2048290000000001</v>
      </c>
      <c r="P234" s="29">
        <f t="shared" ref="P234:S234" si="121">P208-P200+P212+P214</f>
        <v>4.5626771501998489</v>
      </c>
      <c r="Q234" s="29">
        <f t="shared" si="121"/>
        <v>6.3109683739464479</v>
      </c>
      <c r="R234" s="29">
        <f t="shared" si="121"/>
        <v>7.4660638384214506</v>
      </c>
      <c r="S234" s="29">
        <f t="shared" si="121"/>
        <v>8.9692967253515601</v>
      </c>
    </row>
    <row r="235" spans="2:21" ht="18" x14ac:dyDescent="0.35">
      <c r="B235" s="52"/>
      <c r="C235" s="23"/>
      <c r="D235" s="23"/>
      <c r="E235" s="23"/>
      <c r="F235" s="23"/>
      <c r="G235" s="23"/>
      <c r="H235" s="23"/>
      <c r="I235" s="23"/>
      <c r="J235" s="23"/>
      <c r="K235" s="23"/>
      <c r="L235" s="23"/>
      <c r="M235" s="23"/>
      <c r="N235" s="23">
        <v>3.5510890000000117</v>
      </c>
      <c r="O235" s="23"/>
      <c r="P235" s="23"/>
      <c r="Q235" s="23"/>
      <c r="R235" s="23"/>
      <c r="S235" s="23"/>
    </row>
    <row r="236" spans="2:21" x14ac:dyDescent="0.25">
      <c r="B236" s="59" t="s">
        <v>34</v>
      </c>
      <c r="C236" s="46">
        <f t="shared" ref="C236:H236" si="122">+SUM(C237:C239)</f>
        <v>63.251300000000001</v>
      </c>
      <c r="D236" s="46">
        <f t="shared" si="122"/>
        <v>47.740096999999999</v>
      </c>
      <c r="E236" s="46">
        <f t="shared" si="122"/>
        <v>42.413363000000004</v>
      </c>
      <c r="F236" s="46">
        <f t="shared" si="122"/>
        <v>41.085034</v>
      </c>
      <c r="G236" s="46">
        <f t="shared" si="122"/>
        <v>40.822620999999998</v>
      </c>
      <c r="H236" s="46">
        <f t="shared" si="122"/>
        <v>39.939593000000002</v>
      </c>
      <c r="I236" s="46">
        <f t="shared" ref="I236:K236" si="123">+SUM(I237:I239)</f>
        <v>40.798806999999996</v>
      </c>
      <c r="J236" s="46">
        <f t="shared" si="123"/>
        <v>44.181187000000001</v>
      </c>
      <c r="K236" s="46">
        <f t="shared" si="123"/>
        <v>40.113347000000005</v>
      </c>
      <c r="L236" s="46">
        <f>+SUM(L237:L239)</f>
        <v>37.283243999999996</v>
      </c>
      <c r="M236" s="46">
        <f>+SUM(M237:M239)</f>
        <v>32.953980000000001</v>
      </c>
      <c r="N236" s="46">
        <f>+SUM(N237:N239)</f>
        <v>40.557772999999997</v>
      </c>
      <c r="O236" s="46">
        <f>+SUM(O237:O239)</f>
        <v>39.231897000000004</v>
      </c>
      <c r="P236" s="79">
        <f t="shared" ref="P236:S236" si="124">+SUM(P237:P239)</f>
        <v>39.231897000000004</v>
      </c>
      <c r="Q236" s="79">
        <f t="shared" si="124"/>
        <v>39.231897000000004</v>
      </c>
      <c r="R236" s="79">
        <f t="shared" si="124"/>
        <v>39.231897000000004</v>
      </c>
      <c r="S236" s="79">
        <f t="shared" si="124"/>
        <v>39.231897000000004</v>
      </c>
    </row>
    <row r="237" spans="2:21" x14ac:dyDescent="0.25">
      <c r="B237" s="56" t="s">
        <v>66</v>
      </c>
      <c r="C237" s="54">
        <f t="shared" ref="C237:S237" si="125">+C173+C178</f>
        <v>63.251300000000001</v>
      </c>
      <c r="D237" s="54">
        <f t="shared" si="125"/>
        <v>47.740096999999999</v>
      </c>
      <c r="E237" s="54">
        <f t="shared" si="125"/>
        <v>42.413363000000004</v>
      </c>
      <c r="F237" s="54">
        <f t="shared" si="125"/>
        <v>41.085034</v>
      </c>
      <c r="G237" s="54">
        <f t="shared" si="125"/>
        <v>40.822620999999998</v>
      </c>
      <c r="H237" s="54">
        <f t="shared" si="125"/>
        <v>39.939593000000002</v>
      </c>
      <c r="I237" s="54">
        <f t="shared" si="125"/>
        <v>40.798806999999996</v>
      </c>
      <c r="J237" s="54">
        <f t="shared" si="125"/>
        <v>44.181187000000001</v>
      </c>
      <c r="K237" s="54">
        <f t="shared" si="125"/>
        <v>40.113347000000005</v>
      </c>
      <c r="L237" s="54">
        <f t="shared" si="125"/>
        <v>37.283243999999996</v>
      </c>
      <c r="M237" s="54">
        <f t="shared" si="125"/>
        <v>32.953980000000001</v>
      </c>
      <c r="N237" s="54">
        <f t="shared" ref="N237:O237" si="126">+N173+N178</f>
        <v>40.557772999999997</v>
      </c>
      <c r="O237" s="54">
        <f t="shared" si="126"/>
        <v>39.231897000000004</v>
      </c>
      <c r="P237" s="57">
        <f t="shared" si="125"/>
        <v>39.231897000000004</v>
      </c>
      <c r="Q237" s="57">
        <f t="shared" si="125"/>
        <v>39.231897000000004</v>
      </c>
      <c r="R237" s="57">
        <f t="shared" si="125"/>
        <v>39.231897000000004</v>
      </c>
      <c r="S237" s="57">
        <f t="shared" si="125"/>
        <v>39.231897000000004</v>
      </c>
    </row>
    <row r="238" spans="2:21" x14ac:dyDescent="0.25">
      <c r="B238" s="56" t="s">
        <v>67</v>
      </c>
      <c r="C238" s="54"/>
      <c r="D238" s="54"/>
      <c r="E238" s="54"/>
      <c r="F238" s="54"/>
      <c r="G238" s="54"/>
      <c r="H238" s="54"/>
      <c r="I238" s="54"/>
      <c r="J238" s="54"/>
      <c r="K238" s="54"/>
      <c r="L238" s="54"/>
      <c r="M238" s="54"/>
      <c r="N238" s="54"/>
      <c r="O238" s="54"/>
      <c r="P238" s="57"/>
      <c r="Q238" s="57"/>
      <c r="R238" s="57"/>
      <c r="S238" s="57"/>
    </row>
    <row r="239" spans="2:21" x14ac:dyDescent="0.25">
      <c r="B239" s="56" t="s">
        <v>71</v>
      </c>
      <c r="C239" s="54"/>
      <c r="D239" s="54"/>
      <c r="E239" s="54"/>
      <c r="F239" s="54"/>
      <c r="G239" s="54"/>
      <c r="H239" s="54"/>
      <c r="I239" s="54"/>
      <c r="J239" s="54"/>
      <c r="K239" s="54"/>
      <c r="L239" s="54"/>
      <c r="M239" s="54"/>
      <c r="N239" s="54"/>
      <c r="O239" s="54"/>
      <c r="P239" s="57"/>
      <c r="Q239" s="57"/>
      <c r="R239" s="57"/>
      <c r="S239" s="57"/>
    </row>
    <row r="240" spans="2:21" x14ac:dyDescent="0.25">
      <c r="B240" s="59" t="s">
        <v>35</v>
      </c>
      <c r="C240" s="46">
        <f t="shared" ref="C240:K240" si="127">+C241</f>
        <v>1.052457</v>
      </c>
      <c r="D240" s="46">
        <f t="shared" si="127"/>
        <v>1.750874</v>
      </c>
      <c r="E240" s="46">
        <f t="shared" si="127"/>
        <v>1.6040190000000001</v>
      </c>
      <c r="F240" s="46">
        <f t="shared" si="127"/>
        <v>3.331299</v>
      </c>
      <c r="G240" s="46">
        <f t="shared" si="127"/>
        <v>5.7396539999999998</v>
      </c>
      <c r="H240" s="46">
        <f t="shared" si="127"/>
        <v>5.4052889999999998</v>
      </c>
      <c r="I240" s="46">
        <f t="shared" si="127"/>
        <v>9.5070549999999994</v>
      </c>
      <c r="J240" s="46">
        <f t="shared" si="127"/>
        <v>10.094937</v>
      </c>
      <c r="K240" s="46">
        <f t="shared" si="127"/>
        <v>7.5153840000000001</v>
      </c>
      <c r="L240" s="46">
        <f>+L241</f>
        <v>5.7614419999999997</v>
      </c>
      <c r="M240" s="46">
        <f>+M241</f>
        <v>3.9030309999999999</v>
      </c>
      <c r="N240" s="46">
        <f>+N241</f>
        <v>3.5510969999999999</v>
      </c>
      <c r="O240" s="46">
        <f>+O241</f>
        <v>4.5624669999999998</v>
      </c>
      <c r="P240" s="27">
        <f t="shared" ref="P240:S240" si="128">+P241</f>
        <v>4.5454598457650111</v>
      </c>
      <c r="Q240" s="27">
        <f t="shared" si="128"/>
        <v>14.395207048612219</v>
      </c>
      <c r="R240" s="27">
        <f t="shared" si="128"/>
        <v>19.289061461361296</v>
      </c>
      <c r="S240" s="27">
        <f t="shared" si="128"/>
        <v>23.520635991594446</v>
      </c>
    </row>
    <row r="241" spans="2:19" x14ac:dyDescent="0.25">
      <c r="B241" s="56" t="s">
        <v>18</v>
      </c>
      <c r="C241" s="54">
        <f t="shared" ref="C241:S241" si="129">+C156</f>
        <v>1.052457</v>
      </c>
      <c r="D241" s="54">
        <f t="shared" si="129"/>
        <v>1.750874</v>
      </c>
      <c r="E241" s="54">
        <f t="shared" si="129"/>
        <v>1.6040190000000001</v>
      </c>
      <c r="F241" s="54">
        <f t="shared" si="129"/>
        <v>3.331299</v>
      </c>
      <c r="G241" s="54">
        <f t="shared" si="129"/>
        <v>5.7396539999999998</v>
      </c>
      <c r="H241" s="54">
        <f t="shared" si="129"/>
        <v>5.4052889999999998</v>
      </c>
      <c r="I241" s="54">
        <f t="shared" si="129"/>
        <v>9.5070549999999994</v>
      </c>
      <c r="J241" s="54">
        <f t="shared" si="129"/>
        <v>10.094937</v>
      </c>
      <c r="K241" s="54">
        <f t="shared" si="129"/>
        <v>7.5153840000000001</v>
      </c>
      <c r="L241" s="54">
        <f t="shared" si="129"/>
        <v>5.7614419999999997</v>
      </c>
      <c r="M241" s="54">
        <f t="shared" si="129"/>
        <v>3.9030309999999999</v>
      </c>
      <c r="N241" s="54">
        <f t="shared" ref="N241:O241" si="130">+N156</f>
        <v>3.5510969999999999</v>
      </c>
      <c r="O241" s="54">
        <f t="shared" si="130"/>
        <v>4.5624669999999998</v>
      </c>
      <c r="P241" s="57">
        <f t="shared" si="129"/>
        <v>4.5454598457650111</v>
      </c>
      <c r="Q241" s="57">
        <f t="shared" si="129"/>
        <v>14.395207048612219</v>
      </c>
      <c r="R241" s="57">
        <f t="shared" si="129"/>
        <v>19.289061461361296</v>
      </c>
      <c r="S241" s="57">
        <f t="shared" si="129"/>
        <v>23.520635991594446</v>
      </c>
    </row>
    <row r="242" spans="2:19" x14ac:dyDescent="0.25">
      <c r="B242" s="59" t="s">
        <v>36</v>
      </c>
      <c r="C242" s="45">
        <f t="shared" ref="C242:K242" si="131">+C236-C240</f>
        <v>62.198843000000004</v>
      </c>
      <c r="D242" s="45">
        <f t="shared" si="131"/>
        <v>45.989222999999996</v>
      </c>
      <c r="E242" s="45">
        <f t="shared" si="131"/>
        <v>40.809344000000003</v>
      </c>
      <c r="F242" s="45">
        <f t="shared" si="131"/>
        <v>37.753734999999999</v>
      </c>
      <c r="G242" s="45">
        <f t="shared" si="131"/>
        <v>35.082966999999996</v>
      </c>
      <c r="H242" s="45">
        <f t="shared" si="131"/>
        <v>34.534304000000006</v>
      </c>
      <c r="I242" s="45">
        <f t="shared" si="131"/>
        <v>31.291751999999995</v>
      </c>
      <c r="J242" s="45">
        <f t="shared" si="131"/>
        <v>34.08625</v>
      </c>
      <c r="K242" s="45">
        <f t="shared" si="131"/>
        <v>32.597963000000007</v>
      </c>
      <c r="L242" s="45">
        <f>+L236-L240</f>
        <v>31.521801999999997</v>
      </c>
      <c r="M242" s="45">
        <f>+M236-M240</f>
        <v>29.050949000000003</v>
      </c>
      <c r="N242" s="45">
        <f>+N236-N240</f>
        <v>37.006675999999999</v>
      </c>
      <c r="O242" s="45">
        <f>+O236-O240</f>
        <v>34.669430000000006</v>
      </c>
      <c r="P242" s="79">
        <f t="shared" ref="P242:S242" si="132">P236-P240</f>
        <v>34.686437154234994</v>
      </c>
      <c r="Q242" s="79">
        <f t="shared" si="132"/>
        <v>24.836689951387783</v>
      </c>
      <c r="R242" s="79">
        <f t="shared" si="132"/>
        <v>19.942835538638708</v>
      </c>
      <c r="S242" s="79">
        <f t="shared" si="132"/>
        <v>15.711261008405558</v>
      </c>
    </row>
    <row r="243" spans="2:19" ht="18" x14ac:dyDescent="0.25">
      <c r="B243" s="21" t="s">
        <v>37</v>
      </c>
      <c r="C243" s="53"/>
      <c r="D243" s="53">
        <f t="shared" ref="D243:K243" si="133">+D242-C242</f>
        <v>-16.209620000000008</v>
      </c>
      <c r="E243" s="53">
        <f t="shared" si="133"/>
        <v>-5.1798789999999926</v>
      </c>
      <c r="F243" s="53">
        <f t="shared" si="133"/>
        <v>-3.055609000000004</v>
      </c>
      <c r="G243" s="53">
        <f t="shared" si="133"/>
        <v>-2.6707680000000025</v>
      </c>
      <c r="H243" s="53">
        <f t="shared" si="133"/>
        <v>-0.54866299999999057</v>
      </c>
      <c r="I243" s="53">
        <f t="shared" si="133"/>
        <v>-3.2425520000000105</v>
      </c>
      <c r="J243" s="53">
        <f t="shared" si="133"/>
        <v>2.7944980000000044</v>
      </c>
      <c r="K243" s="53">
        <f t="shared" si="133"/>
        <v>-1.4882869999999926</v>
      </c>
      <c r="L243" s="53">
        <f>+L242-K242</f>
        <v>-1.0761610000000097</v>
      </c>
      <c r="M243" s="53">
        <f>+M242-L242</f>
        <v>-2.4708529999999946</v>
      </c>
      <c r="N243" s="53">
        <f>+N242-M242</f>
        <v>7.955726999999996</v>
      </c>
      <c r="O243" s="53">
        <f>+O242-N242</f>
        <v>-2.3372459999999933</v>
      </c>
      <c r="P243" s="124">
        <f>+P242-O242</f>
        <v>1.7007154234988775E-2</v>
      </c>
      <c r="Q243" s="124">
        <f t="shared" ref="Q243:S243" si="134">+Q242-P242</f>
        <v>-9.8497472028472117</v>
      </c>
      <c r="R243" s="124">
        <f t="shared" si="134"/>
        <v>-4.8938544127490751</v>
      </c>
      <c r="S243" s="124">
        <f t="shared" si="134"/>
        <v>-4.23157453023315</v>
      </c>
    </row>
    <row r="244" spans="2:19" x14ac:dyDescent="0.25">
      <c r="C244" s="58"/>
      <c r="D244" s="58"/>
      <c r="E244" s="58"/>
      <c r="F244" s="58"/>
      <c r="G244" s="58"/>
      <c r="H244" s="58"/>
      <c r="I244" s="58"/>
      <c r="J244" s="68"/>
      <c r="K244" s="68"/>
      <c r="L244" s="68"/>
      <c r="M244" s="68"/>
      <c r="N244" s="68"/>
      <c r="O244" s="68"/>
    </row>
    <row r="245" spans="2:19" x14ac:dyDescent="0.25">
      <c r="B245" s="56" t="s">
        <v>52</v>
      </c>
      <c r="C245" s="199">
        <f t="shared" ref="C245:H245" si="135">+C236</f>
        <v>63.251300000000001</v>
      </c>
      <c r="D245" s="199">
        <f t="shared" si="135"/>
        <v>47.740096999999999</v>
      </c>
      <c r="E245" s="199">
        <f t="shared" si="135"/>
        <v>42.413363000000004</v>
      </c>
      <c r="F245" s="199">
        <f t="shared" si="135"/>
        <v>41.085034</v>
      </c>
      <c r="G245" s="199">
        <f t="shared" si="135"/>
        <v>40.822620999999998</v>
      </c>
      <c r="H245" s="199">
        <f t="shared" si="135"/>
        <v>39.939593000000002</v>
      </c>
      <c r="I245" s="199">
        <f>+I236</f>
        <v>40.798806999999996</v>
      </c>
      <c r="J245" s="199">
        <f t="shared" ref="J245:S245" si="136">+J236</f>
        <v>44.181187000000001</v>
      </c>
      <c r="K245" s="199">
        <f t="shared" si="136"/>
        <v>40.113347000000005</v>
      </c>
      <c r="L245" s="199">
        <f t="shared" si="136"/>
        <v>37.283243999999996</v>
      </c>
      <c r="M245" s="199">
        <f t="shared" si="136"/>
        <v>32.953980000000001</v>
      </c>
      <c r="N245" s="199">
        <f t="shared" ref="N245:O245" si="137">+N236</f>
        <v>40.557772999999997</v>
      </c>
      <c r="O245" s="199">
        <f t="shared" si="137"/>
        <v>39.231897000000004</v>
      </c>
      <c r="P245" s="182">
        <f t="shared" si="136"/>
        <v>39.231897000000004</v>
      </c>
      <c r="Q245" s="182">
        <f t="shared" si="136"/>
        <v>39.231897000000004</v>
      </c>
      <c r="R245" s="182">
        <f t="shared" si="136"/>
        <v>39.231897000000004</v>
      </c>
      <c r="S245" s="182">
        <f t="shared" si="136"/>
        <v>39.231897000000004</v>
      </c>
    </row>
    <row r="246" spans="2:19" x14ac:dyDescent="0.25">
      <c r="B246" s="56" t="s">
        <v>59</v>
      </c>
      <c r="C246" s="199">
        <f t="shared" ref="C246:H246" si="138">+C242</f>
        <v>62.198843000000004</v>
      </c>
      <c r="D246" s="199">
        <f t="shared" si="138"/>
        <v>45.989222999999996</v>
      </c>
      <c r="E246" s="199">
        <f t="shared" si="138"/>
        <v>40.809344000000003</v>
      </c>
      <c r="F246" s="199">
        <f t="shared" si="138"/>
        <v>37.753734999999999</v>
      </c>
      <c r="G246" s="199">
        <f t="shared" si="138"/>
        <v>35.082966999999996</v>
      </c>
      <c r="H246" s="199">
        <f t="shared" si="138"/>
        <v>34.534304000000006</v>
      </c>
      <c r="I246" s="199">
        <f>+I242</f>
        <v>31.291751999999995</v>
      </c>
      <c r="J246" s="199">
        <f t="shared" ref="J246:S246" si="139">+J242</f>
        <v>34.08625</v>
      </c>
      <c r="K246" s="199">
        <f t="shared" si="139"/>
        <v>32.597963000000007</v>
      </c>
      <c r="L246" s="199">
        <f t="shared" si="139"/>
        <v>31.521801999999997</v>
      </c>
      <c r="M246" s="199">
        <f t="shared" si="139"/>
        <v>29.050949000000003</v>
      </c>
      <c r="N246" s="199">
        <f t="shared" ref="N246:O246" si="140">+N242</f>
        <v>37.006675999999999</v>
      </c>
      <c r="O246" s="199">
        <f t="shared" si="140"/>
        <v>34.669430000000006</v>
      </c>
      <c r="P246" s="182">
        <f t="shared" si="139"/>
        <v>34.686437154234994</v>
      </c>
      <c r="Q246" s="182">
        <f t="shared" si="139"/>
        <v>24.836689951387783</v>
      </c>
      <c r="R246" s="182">
        <f t="shared" si="139"/>
        <v>19.942835538638708</v>
      </c>
      <c r="S246" s="182">
        <f t="shared" si="139"/>
        <v>15.711261008405558</v>
      </c>
    </row>
    <row r="247" spans="2:19" x14ac:dyDescent="0.25">
      <c r="B247" s="56" t="s">
        <v>16</v>
      </c>
      <c r="C247" s="199">
        <f t="shared" ref="C247:S247" si="141">+C159</f>
        <v>182.036911</v>
      </c>
      <c r="D247" s="199">
        <f t="shared" si="141"/>
        <v>156.52551599999998</v>
      </c>
      <c r="E247" s="199">
        <f t="shared" si="141"/>
        <v>150.86959499999998</v>
      </c>
      <c r="F247" s="199">
        <f t="shared" si="141"/>
        <v>147.77006399999999</v>
      </c>
      <c r="G247" s="199">
        <f t="shared" si="141"/>
        <v>145.72078999999999</v>
      </c>
      <c r="H247" s="199">
        <f t="shared" si="141"/>
        <v>145.60767600000003</v>
      </c>
      <c r="I247" s="199">
        <f t="shared" si="141"/>
        <v>156.207156</v>
      </c>
      <c r="J247" s="199">
        <f t="shared" si="141"/>
        <v>153.05798499999997</v>
      </c>
      <c r="K247" s="199">
        <f t="shared" si="141"/>
        <v>152.20648399999999</v>
      </c>
      <c r="L247" s="199">
        <f t="shared" si="141"/>
        <v>147.98902800000002</v>
      </c>
      <c r="M247" s="199">
        <f t="shared" si="141"/>
        <v>148.22277800000001</v>
      </c>
      <c r="N247" s="199">
        <f t="shared" ref="N247:O247" si="142">+N159</f>
        <v>161.56809600000003</v>
      </c>
      <c r="O247" s="199">
        <f t="shared" si="142"/>
        <v>170.881134</v>
      </c>
      <c r="P247" s="182">
        <f t="shared" si="141"/>
        <v>180.34848679686652</v>
      </c>
      <c r="Q247" s="182">
        <f t="shared" si="141"/>
        <v>200.60590845574632</v>
      </c>
      <c r="R247" s="182">
        <f t="shared" si="141"/>
        <v>219.26356378563176</v>
      </c>
      <c r="S247" s="182">
        <f t="shared" si="141"/>
        <v>239.73801757886156</v>
      </c>
    </row>
    <row r="248" spans="2:19" x14ac:dyDescent="0.25">
      <c r="B248" s="56" t="s">
        <v>53</v>
      </c>
      <c r="C248" s="199">
        <f t="shared" ref="C248:S248" si="143">+C172</f>
        <v>101.24596200000001</v>
      </c>
      <c r="D248" s="199">
        <f t="shared" si="143"/>
        <v>95.09517799999999</v>
      </c>
      <c r="E248" s="199">
        <f t="shared" si="143"/>
        <v>95.754998999999998</v>
      </c>
      <c r="F248" s="199">
        <f t="shared" si="143"/>
        <v>95.669534999999996</v>
      </c>
      <c r="G248" s="199">
        <f t="shared" si="143"/>
        <v>93.70464699999998</v>
      </c>
      <c r="H248" s="199">
        <f t="shared" si="143"/>
        <v>91.872080999999994</v>
      </c>
      <c r="I248" s="199">
        <f t="shared" si="143"/>
        <v>96.095370000000003</v>
      </c>
      <c r="J248" s="199">
        <f t="shared" si="143"/>
        <v>87.867566999999994</v>
      </c>
      <c r="K248" s="199">
        <f t="shared" si="143"/>
        <v>91.537504999999982</v>
      </c>
      <c r="L248" s="199">
        <f t="shared" si="143"/>
        <v>92.341836999999998</v>
      </c>
      <c r="M248" s="199">
        <f t="shared" si="143"/>
        <v>95.546471999999994</v>
      </c>
      <c r="N248" s="199">
        <f t="shared" ref="N248:O248" si="144">+N172</f>
        <v>96.912139999999994</v>
      </c>
      <c r="O248" s="199">
        <f t="shared" si="144"/>
        <v>104.689976</v>
      </c>
      <c r="P248" s="182">
        <f t="shared" si="143"/>
        <v>114.14775405019986</v>
      </c>
      <c r="Q248" s="182">
        <f t="shared" si="143"/>
        <v>125.93133341414631</v>
      </c>
      <c r="R248" s="182">
        <f t="shared" si="143"/>
        <v>139.50526934156775</v>
      </c>
      <c r="S248" s="182">
        <f t="shared" si="143"/>
        <v>152.28122536481931</v>
      </c>
    </row>
    <row r="249" spans="2:19" x14ac:dyDescent="0.25">
      <c r="B249" s="56" t="s">
        <v>1</v>
      </c>
      <c r="C249" s="199">
        <f t="shared" ref="C249:S249" si="145">+C104</f>
        <v>-27.495077999999996</v>
      </c>
      <c r="D249" s="199">
        <f t="shared" si="145"/>
        <v>4.0921200000000013</v>
      </c>
      <c r="E249" s="199">
        <f t="shared" si="145"/>
        <v>5.2612489999999976</v>
      </c>
      <c r="F249" s="199">
        <f t="shared" si="145"/>
        <v>6.1925190000000008</v>
      </c>
      <c r="G249" s="199">
        <f t="shared" si="145"/>
        <v>3.072604000000001</v>
      </c>
      <c r="H249" s="199">
        <f t="shared" si="145"/>
        <v>-1.7761650000000009</v>
      </c>
      <c r="I249" s="199">
        <f t="shared" si="145"/>
        <v>-9.311699999999834E-2</v>
      </c>
      <c r="J249" s="199">
        <f t="shared" si="145"/>
        <v>-2.2488389999999985</v>
      </c>
      <c r="K249" s="199">
        <f t="shared" si="145"/>
        <v>0.57704200000000172</v>
      </c>
      <c r="L249" s="199">
        <f t="shared" si="145"/>
        <v>2.2641829999999987</v>
      </c>
      <c r="M249" s="199">
        <f>+M104</f>
        <v>3.1095100000000002</v>
      </c>
      <c r="N249" s="199">
        <f>+N104</f>
        <v>3.751650999999999</v>
      </c>
      <c r="O249" s="199">
        <f>+O104</f>
        <v>5.6357360000000005</v>
      </c>
      <c r="P249" s="182">
        <f t="shared" si="145"/>
        <v>5.1012569157680403</v>
      </c>
      <c r="Q249" s="182">
        <f t="shared" si="145"/>
        <v>8.8226831007484066</v>
      </c>
      <c r="R249" s="182">
        <f t="shared" si="145"/>
        <v>10.303532574687651</v>
      </c>
      <c r="S249" s="182">
        <f t="shared" si="145"/>
        <v>12.260023551012596</v>
      </c>
    </row>
    <row r="250" spans="2:19" x14ac:dyDescent="0.25">
      <c r="B250" s="58"/>
    </row>
    <row r="251" spans="2:19" x14ac:dyDescent="0.25">
      <c r="B251" s="56" t="s">
        <v>54</v>
      </c>
      <c r="C251" s="168">
        <f t="shared" ref="C251:H251" si="146">+IFERROR(C245/C247,"NA")</f>
        <v>0.34746414698280614</v>
      </c>
      <c r="D251" s="168">
        <f t="shared" si="146"/>
        <v>0.304998815656356</v>
      </c>
      <c r="E251" s="168">
        <f t="shared" si="146"/>
        <v>0.28112598167974145</v>
      </c>
      <c r="F251" s="168">
        <f t="shared" si="146"/>
        <v>0.27803354000036168</v>
      </c>
      <c r="G251" s="168">
        <f t="shared" si="146"/>
        <v>0.28014273735408651</v>
      </c>
      <c r="H251" s="168">
        <f t="shared" si="146"/>
        <v>0.27429593066233676</v>
      </c>
      <c r="I251" s="168">
        <f>+IFERROR(I245/I247,"NA")</f>
        <v>0.26118398186572195</v>
      </c>
      <c r="J251" s="168">
        <f t="shared" ref="J251:M251" si="147">+IFERROR(J245/J247,"NA")</f>
        <v>0.28865653105259426</v>
      </c>
      <c r="K251" s="168">
        <f t="shared" si="147"/>
        <v>0.26354558587661747</v>
      </c>
      <c r="L251" s="168">
        <f t="shared" si="147"/>
        <v>0.25193248785984318</v>
      </c>
      <c r="M251" s="168">
        <f t="shared" si="147"/>
        <v>0.22232736725525412</v>
      </c>
      <c r="N251" s="168">
        <f t="shared" ref="N251:O251" si="148">+IFERROR(N245/N247,"NA")</f>
        <v>0.25102587703948676</v>
      </c>
      <c r="O251" s="168">
        <f t="shared" si="148"/>
        <v>0.22958588863297222</v>
      </c>
      <c r="P251" s="169">
        <f t="shared" ref="P251:S251" si="149">+P245/P247</f>
        <v>0.21753382962502152</v>
      </c>
      <c r="Q251" s="169">
        <f t="shared" si="149"/>
        <v>0.19556700648552713</v>
      </c>
      <c r="R251" s="169">
        <f t="shared" si="149"/>
        <v>0.17892574727261115</v>
      </c>
      <c r="S251" s="169">
        <f t="shared" si="149"/>
        <v>0.16364487116481105</v>
      </c>
    </row>
    <row r="252" spans="2:19" x14ac:dyDescent="0.25">
      <c r="B252" s="56" t="s">
        <v>55</v>
      </c>
      <c r="C252" s="168">
        <f t="shared" ref="C252:H252" si="150">+IFERROR(C245/C248,"NA")</f>
        <v>0.62472911265340136</v>
      </c>
      <c r="D252" s="168">
        <f t="shared" si="150"/>
        <v>0.50202437183513138</v>
      </c>
      <c r="E252" s="168">
        <f t="shared" si="150"/>
        <v>0.44293627949387798</v>
      </c>
      <c r="F252" s="168">
        <f t="shared" si="150"/>
        <v>0.4294474097736547</v>
      </c>
      <c r="G252" s="168">
        <f t="shared" si="150"/>
        <v>0.43565204402296087</v>
      </c>
      <c r="H252" s="168">
        <f t="shared" si="150"/>
        <v>0.43473047051149311</v>
      </c>
      <c r="I252" s="168">
        <f>+IFERROR(I245/I248,"NA")</f>
        <v>0.42456579333634903</v>
      </c>
      <c r="J252" s="168">
        <f t="shared" ref="J252:M252" si="151">+IFERROR(J245/J248,"NA")</f>
        <v>0.50281564072440976</v>
      </c>
      <c r="K252" s="168">
        <f t="shared" si="151"/>
        <v>0.43821761364371919</v>
      </c>
      <c r="L252" s="168">
        <f t="shared" si="151"/>
        <v>0.40375246162798339</v>
      </c>
      <c r="M252" s="168">
        <f t="shared" si="151"/>
        <v>0.34490001891435618</v>
      </c>
      <c r="N252" s="168">
        <f t="shared" ref="N252:O252" si="152">+IFERROR(N245/N248,"NA")</f>
        <v>0.41850043761287287</v>
      </c>
      <c r="O252" s="168">
        <f t="shared" si="152"/>
        <v>0.37474358576603362</v>
      </c>
      <c r="P252" s="169">
        <f t="shared" ref="P252:S252" si="153">+P245/P248</f>
        <v>0.34369398965788334</v>
      </c>
      <c r="Q252" s="169">
        <f t="shared" si="153"/>
        <v>0.31153403951484682</v>
      </c>
      <c r="R252" s="169">
        <f t="shared" si="153"/>
        <v>0.28122161395885176</v>
      </c>
      <c r="S252" s="169">
        <f t="shared" si="153"/>
        <v>0.25762793086286478</v>
      </c>
    </row>
    <row r="253" spans="2:19" x14ac:dyDescent="0.25">
      <c r="B253" s="56" t="s">
        <v>70</v>
      </c>
      <c r="C253" s="147">
        <f t="shared" ref="C253:H253" si="154">+IFERROR((C245/SUM(C245,C248)),"NA")</f>
        <v>0.38451278295440566</v>
      </c>
      <c r="D253" s="147">
        <f t="shared" si="154"/>
        <v>0.33423184153914359</v>
      </c>
      <c r="E253" s="147">
        <f t="shared" si="154"/>
        <v>0.30696870387737535</v>
      </c>
      <c r="F253" s="147">
        <f t="shared" si="154"/>
        <v>0.30042896775171002</v>
      </c>
      <c r="G253" s="147">
        <f t="shared" si="154"/>
        <v>0.30345239003887303</v>
      </c>
      <c r="H253" s="147">
        <f t="shared" si="154"/>
        <v>0.3030049751132059</v>
      </c>
      <c r="I253" s="147">
        <f>+IFERROR((I245/SUM(I245,I248)),"NA")</f>
        <v>0.29803171978600662</v>
      </c>
      <c r="J253" s="147">
        <f t="shared" ref="J253:M253" si="155">+IFERROR((J245/SUM(J245,J248)),"NA")</f>
        <v>0.3345823846243941</v>
      </c>
      <c r="K253" s="147">
        <f t="shared" si="155"/>
        <v>0.30469492897774797</v>
      </c>
      <c r="L253" s="147">
        <f t="shared" si="155"/>
        <v>0.28762368912232344</v>
      </c>
      <c r="M253" s="147">
        <f t="shared" si="155"/>
        <v>0.25645030415924142</v>
      </c>
      <c r="N253" s="147">
        <f t="shared" ref="N253:O253" si="156">+IFERROR((N245/SUM(N245,N248)),"NA")</f>
        <v>0.29503017871263221</v>
      </c>
      <c r="O253" s="147">
        <f t="shared" si="156"/>
        <v>0.27259162337332843</v>
      </c>
      <c r="P253" s="170">
        <f t="shared" ref="P253:S253" si="157">+P245/SUM(P245,P248)</f>
        <v>0.25578293294695092</v>
      </c>
      <c r="Q253" s="170">
        <f t="shared" si="157"/>
        <v>0.23753408613785368</v>
      </c>
      <c r="R253" s="170">
        <f t="shared" si="157"/>
        <v>0.21949490306357225</v>
      </c>
      <c r="S253" s="170">
        <f t="shared" si="157"/>
        <v>0.20485226555528629</v>
      </c>
    </row>
    <row r="254" spans="2:19" x14ac:dyDescent="0.25">
      <c r="B254" s="56" t="s">
        <v>63</v>
      </c>
      <c r="C254" s="168">
        <f>C245/C249</f>
        <v>-2.3004590130640841</v>
      </c>
      <c r="D254" s="168">
        <f>D245/D249</f>
        <v>11.666348249806942</v>
      </c>
      <c r="E254" s="168">
        <f t="shared" ref="E254:M254" si="158">E245/E249</f>
        <v>8.0614627819363847</v>
      </c>
      <c r="F254" s="168">
        <f t="shared" si="158"/>
        <v>6.6346238097937196</v>
      </c>
      <c r="G254" s="168">
        <f t="shared" si="158"/>
        <v>13.286001385144322</v>
      </c>
      <c r="H254" s="168">
        <f t="shared" si="158"/>
        <v>-22.486420462062917</v>
      </c>
      <c r="I254" s="168">
        <f t="shared" si="158"/>
        <v>-438.14563398735703</v>
      </c>
      <c r="J254" s="168">
        <f t="shared" si="158"/>
        <v>-19.646220560920561</v>
      </c>
      <c r="K254" s="168">
        <f t="shared" si="158"/>
        <v>69.515472010702666</v>
      </c>
      <c r="L254" s="168">
        <f t="shared" si="158"/>
        <v>16.466532961337496</v>
      </c>
      <c r="M254" s="168">
        <f t="shared" si="158"/>
        <v>10.597804798826825</v>
      </c>
      <c r="N254" s="168">
        <f t="shared" ref="N254:O254" si="159">N245/N249</f>
        <v>10.810646566005209</v>
      </c>
      <c r="O254" s="168">
        <f t="shared" si="159"/>
        <v>6.9612730262737648</v>
      </c>
      <c r="P254" s="169">
        <f t="shared" ref="P254:S254" si="160">+P245/P249</f>
        <v>7.6906334356016819</v>
      </c>
      <c r="Q254" s="169">
        <f t="shared" si="160"/>
        <v>4.4467081671189188</v>
      </c>
      <c r="R254" s="169">
        <f t="shared" si="160"/>
        <v>3.8076161467553091</v>
      </c>
      <c r="S254" s="169">
        <f t="shared" si="160"/>
        <v>3.1999854516396677</v>
      </c>
    </row>
    <row r="255" spans="2:19" x14ac:dyDescent="0.25">
      <c r="B255" s="56" t="s">
        <v>64</v>
      </c>
      <c r="C255" s="168">
        <f t="shared" ref="C255:K255" si="161">C246/C249</f>
        <v>-2.2621809983590522</v>
      </c>
      <c r="D255" s="168">
        <f t="shared" si="161"/>
        <v>11.238483475557898</v>
      </c>
      <c r="E255" s="168">
        <f t="shared" si="161"/>
        <v>7.7565885971182933</v>
      </c>
      <c r="F255" s="168">
        <f t="shared" si="161"/>
        <v>6.0966684155510862</v>
      </c>
      <c r="G255" s="168">
        <f t="shared" si="161"/>
        <v>11.417991709963271</v>
      </c>
      <c r="H255" s="168">
        <f t="shared" si="161"/>
        <v>-19.443184614042046</v>
      </c>
      <c r="I255" s="168">
        <f t="shared" si="161"/>
        <v>-336.04768194852232</v>
      </c>
      <c r="J255" s="168">
        <f t="shared" si="161"/>
        <v>-15.157265593490695</v>
      </c>
      <c r="K255" s="168">
        <f t="shared" si="161"/>
        <v>56.491491087303714</v>
      </c>
      <c r="L255" s="168">
        <f>L246/L249</f>
        <v>13.921932105311283</v>
      </c>
      <c r="M255" s="168">
        <f>M246/M249</f>
        <v>9.3426131448363243</v>
      </c>
      <c r="N255" s="168">
        <f>N246/N249</f>
        <v>9.8641040971028513</v>
      </c>
      <c r="O255" s="168">
        <f>O246/O249</f>
        <v>6.1517129262264953</v>
      </c>
      <c r="P255" s="171">
        <f t="shared" ref="P255:S255" si="162">P246/P249</f>
        <v>6.7995864013472529</v>
      </c>
      <c r="Q255" s="171">
        <f t="shared" si="162"/>
        <v>2.8150948716814894</v>
      </c>
      <c r="R255" s="171">
        <f t="shared" si="162"/>
        <v>1.9355337981491527</v>
      </c>
      <c r="S255" s="171">
        <f t="shared" si="162"/>
        <v>1.2815033301553416</v>
      </c>
    </row>
    <row r="257" spans="2:21" s="3" customFormat="1" x14ac:dyDescent="0.25"/>
    <row r="259" spans="2:21" ht="30" x14ac:dyDescent="0.4">
      <c r="B259" s="26" t="s">
        <v>103</v>
      </c>
    </row>
    <row r="260" spans="2:21" x14ac:dyDescent="0.25">
      <c r="B260" s="56"/>
    </row>
    <row r="261" spans="2:21" ht="18" x14ac:dyDescent="0.25">
      <c r="B261" s="21" t="s">
        <v>66</v>
      </c>
      <c r="C261" s="7">
        <v>2013</v>
      </c>
      <c r="D261" s="7">
        <v>2014</v>
      </c>
      <c r="E261" s="7">
        <v>2015</v>
      </c>
      <c r="F261" s="7">
        <v>2016</v>
      </c>
      <c r="G261" s="7">
        <v>2017</v>
      </c>
      <c r="H261" s="7">
        <v>2018</v>
      </c>
      <c r="I261" s="6">
        <v>2019</v>
      </c>
      <c r="J261" s="6">
        <v>2020</v>
      </c>
      <c r="K261" s="6">
        <v>2021</v>
      </c>
      <c r="L261" s="6">
        <v>2022</v>
      </c>
      <c r="M261" s="7">
        <v>2023</v>
      </c>
      <c r="N261" s="7">
        <v>2024</v>
      </c>
      <c r="O261" s="7">
        <v>2025</v>
      </c>
      <c r="U261" s="91"/>
    </row>
    <row r="262" spans="2:21" x14ac:dyDescent="0.25">
      <c r="B262" s="51" t="s">
        <v>202</v>
      </c>
      <c r="C262" s="212">
        <v>38.929679</v>
      </c>
      <c r="D262" s="212">
        <v>23.544042999999999</v>
      </c>
      <c r="E262" s="212">
        <v>21.488983000000001</v>
      </c>
      <c r="F262" s="212">
        <v>19.541440000000001</v>
      </c>
      <c r="G262" s="212">
        <v>19.817436000000001</v>
      </c>
      <c r="H262" s="82">
        <v>10.856266</v>
      </c>
      <c r="I262" s="82">
        <v>12.430308</v>
      </c>
      <c r="J262" s="82">
        <v>22.010850999999999</v>
      </c>
      <c r="K262" s="82">
        <v>17.946341</v>
      </c>
      <c r="L262" s="82">
        <v>15.597619999999999</v>
      </c>
      <c r="M262" s="82">
        <v>13.5336</v>
      </c>
      <c r="N262" s="82">
        <v>18.189619</v>
      </c>
      <c r="O262" s="82">
        <v>16.804576000000001</v>
      </c>
      <c r="U262" s="91"/>
    </row>
    <row r="263" spans="2:21" x14ac:dyDescent="0.25">
      <c r="B263" s="51" t="s">
        <v>203</v>
      </c>
      <c r="C263" s="212"/>
      <c r="D263" s="212"/>
      <c r="E263" s="212"/>
      <c r="F263" s="212"/>
      <c r="G263" s="212"/>
      <c r="H263" s="82">
        <v>9.6077499999999993</v>
      </c>
      <c r="I263" s="82">
        <v>8.8278750000000006</v>
      </c>
      <c r="J263" s="82">
        <v>2.4979200000000001</v>
      </c>
      <c r="K263" s="82">
        <v>2.369211</v>
      </c>
      <c r="L263" s="82">
        <v>1.763309</v>
      </c>
      <c r="M263" s="82">
        <v>1.395138</v>
      </c>
      <c r="N263" s="82">
        <v>2.153956</v>
      </c>
      <c r="O263" s="82">
        <v>1.6700029999999999</v>
      </c>
      <c r="U263" s="91"/>
    </row>
    <row r="264" spans="2:21" x14ac:dyDescent="0.25">
      <c r="B264" s="51" t="s">
        <v>201</v>
      </c>
      <c r="C264" s="82">
        <f>24.125475+0.196146</f>
        <v>24.321621</v>
      </c>
      <c r="D264" s="82">
        <v>24.196054</v>
      </c>
      <c r="E264" s="82">
        <v>20.924381</v>
      </c>
      <c r="F264" s="82">
        <v>21.543593999999999</v>
      </c>
      <c r="G264" s="82">
        <v>21.005185000000001</v>
      </c>
      <c r="H264" s="82">
        <v>19.475577000000001</v>
      </c>
      <c r="I264" s="82">
        <v>19.540624000000001</v>
      </c>
      <c r="J264" s="82">
        <v>19.672415999999998</v>
      </c>
      <c r="K264" s="82">
        <v>19.797795000000001</v>
      </c>
      <c r="L264" s="82">
        <v>19.922315000000001</v>
      </c>
      <c r="M264" s="82">
        <v>18.025241999999999</v>
      </c>
      <c r="N264" s="82">
        <v>20.214198</v>
      </c>
      <c r="O264" s="82">
        <v>20.757318000000001</v>
      </c>
      <c r="U264" s="91"/>
    </row>
    <row r="265" spans="2:21" x14ac:dyDescent="0.25">
      <c r="B265" s="59" t="s">
        <v>68</v>
      </c>
      <c r="C265" s="87">
        <f t="shared" ref="C265:H265" si="163">+SUM(C262:C264)</f>
        <v>63.251300000000001</v>
      </c>
      <c r="D265" s="87">
        <f t="shared" si="163"/>
        <v>47.740096999999999</v>
      </c>
      <c r="E265" s="87">
        <f t="shared" si="163"/>
        <v>42.413364000000001</v>
      </c>
      <c r="F265" s="87">
        <f t="shared" si="163"/>
        <v>41.085034</v>
      </c>
      <c r="G265" s="87">
        <f t="shared" si="163"/>
        <v>40.822620999999998</v>
      </c>
      <c r="H265" s="87">
        <f t="shared" si="163"/>
        <v>39.939593000000002</v>
      </c>
      <c r="I265" s="87">
        <f>+SUM(I262:I264)</f>
        <v>40.798807000000004</v>
      </c>
      <c r="J265" s="87">
        <f t="shared" ref="J265:M265" si="164">+SUM(J262:J264)</f>
        <v>44.181186999999994</v>
      </c>
      <c r="K265" s="87">
        <f t="shared" si="164"/>
        <v>40.113347000000005</v>
      </c>
      <c r="L265" s="87">
        <f t="shared" si="164"/>
        <v>37.283243999999996</v>
      </c>
      <c r="M265" s="87">
        <f t="shared" si="164"/>
        <v>32.953980000000001</v>
      </c>
      <c r="N265" s="87">
        <f t="shared" ref="N265:O265" si="165">+SUM(N262:N264)</f>
        <v>40.557772999999997</v>
      </c>
      <c r="O265" s="87">
        <f t="shared" si="165"/>
        <v>39.231897000000004</v>
      </c>
    </row>
    <row r="266" spans="2:21" x14ac:dyDescent="0.25">
      <c r="B266" s="56"/>
      <c r="C266" s="90"/>
      <c r="D266" s="90"/>
      <c r="E266" s="90"/>
      <c r="F266" s="90"/>
      <c r="G266" s="90"/>
      <c r="H266" s="90"/>
      <c r="I266" s="90"/>
      <c r="J266" s="90"/>
      <c r="K266" s="90"/>
      <c r="L266" s="90"/>
      <c r="M266" s="90"/>
      <c r="N266" s="90"/>
      <c r="O266" s="90"/>
    </row>
    <row r="268" spans="2:21" s="3" customFormat="1" x14ac:dyDescent="0.25"/>
    <row r="270" spans="2:21" ht="30" x14ac:dyDescent="0.4">
      <c r="B270" s="26" t="s">
        <v>72</v>
      </c>
      <c r="C270" s="26"/>
      <c r="D270" s="26"/>
      <c r="E270" s="26"/>
      <c r="F270" s="26"/>
      <c r="G270" s="26"/>
      <c r="H270" s="26"/>
      <c r="I270" s="48"/>
      <c r="J270" s="48"/>
      <c r="K270" s="48"/>
      <c r="L270" s="48"/>
      <c r="M270" s="48"/>
      <c r="N270" s="48"/>
      <c r="O270" s="48"/>
    </row>
    <row r="271" spans="2:21" x14ac:dyDescent="0.25">
      <c r="I271" s="48"/>
      <c r="J271" s="48"/>
      <c r="K271" s="48"/>
      <c r="L271" s="48"/>
      <c r="M271" s="48"/>
      <c r="N271" s="48"/>
      <c r="O271" s="48"/>
    </row>
    <row r="272" spans="2:21" ht="22.5" x14ac:dyDescent="0.3">
      <c r="B272" s="18"/>
      <c r="C272" s="7">
        <v>2013</v>
      </c>
      <c r="D272" s="7">
        <v>2014</v>
      </c>
      <c r="E272" s="7">
        <v>2015</v>
      </c>
      <c r="F272" s="7">
        <v>2016</v>
      </c>
      <c r="G272" s="7">
        <v>2017</v>
      </c>
      <c r="H272" s="7">
        <v>2018</v>
      </c>
      <c r="I272" s="6">
        <v>2019</v>
      </c>
      <c r="J272" s="6">
        <v>2020</v>
      </c>
      <c r="K272" s="6">
        <v>2021</v>
      </c>
      <c r="L272" s="6">
        <v>2022</v>
      </c>
      <c r="M272" s="7">
        <v>2023</v>
      </c>
      <c r="N272" s="7">
        <v>2024</v>
      </c>
      <c r="O272" s="7">
        <v>2025</v>
      </c>
      <c r="P272" s="6" t="s">
        <v>61</v>
      </c>
      <c r="Q272" s="6" t="s">
        <v>78</v>
      </c>
      <c r="R272" s="6" t="s">
        <v>252</v>
      </c>
      <c r="S272" s="6" t="s">
        <v>270</v>
      </c>
    </row>
    <row r="273" spans="2:20" x14ac:dyDescent="0.25">
      <c r="B273" s="56" t="s">
        <v>38</v>
      </c>
      <c r="C273" s="98">
        <v>1.82</v>
      </c>
      <c r="D273" s="98">
        <v>2.34</v>
      </c>
      <c r="E273" s="98">
        <v>2.2000000000000002</v>
      </c>
      <c r="F273" s="98">
        <v>2.2000000000000002</v>
      </c>
      <c r="G273" s="98">
        <v>2.19</v>
      </c>
      <c r="H273" s="98">
        <v>1.3</v>
      </c>
      <c r="I273" s="98">
        <v>1.6</v>
      </c>
      <c r="J273" s="98">
        <v>1.4</v>
      </c>
      <c r="K273" s="98">
        <v>1.56</v>
      </c>
      <c r="L273" s="98">
        <v>1.03</v>
      </c>
      <c r="M273" s="98">
        <v>1.1928000000000001</v>
      </c>
      <c r="N273" s="98">
        <v>1.8</v>
      </c>
      <c r="O273" s="98">
        <v>3</v>
      </c>
      <c r="P273" s="57">
        <v>3.08</v>
      </c>
      <c r="Q273" s="57">
        <f t="shared" ref="Q273:S273" si="166">+P273</f>
        <v>3.08</v>
      </c>
      <c r="R273" s="57">
        <f t="shared" si="166"/>
        <v>3.08</v>
      </c>
      <c r="S273" s="57">
        <f t="shared" si="166"/>
        <v>3.08</v>
      </c>
    </row>
    <row r="274" spans="2:20" x14ac:dyDescent="0.25">
      <c r="B274" s="56" t="s">
        <v>76</v>
      </c>
      <c r="C274" s="98">
        <v>20.869419000000001</v>
      </c>
      <c r="D274" s="98">
        <v>20.867867</v>
      </c>
      <c r="E274" s="98">
        <v>20.865141000000001</v>
      </c>
      <c r="F274" s="98">
        <v>20.875468000000001</v>
      </c>
      <c r="G274" s="98">
        <v>20.891265000000001</v>
      </c>
      <c r="H274" s="98">
        <v>20.893833999999998</v>
      </c>
      <c r="I274" s="98">
        <v>20.906784999999999</v>
      </c>
      <c r="J274" s="98">
        <v>20.911255000000001</v>
      </c>
      <c r="K274" s="98">
        <v>21.914438000000001</v>
      </c>
      <c r="L274" s="98">
        <v>21.914438000000001</v>
      </c>
      <c r="M274" s="98">
        <v>21.914438000000001</v>
      </c>
      <c r="N274" s="98">
        <v>21.914438000000001</v>
      </c>
      <c r="O274" s="98">
        <v>21.914438000000001</v>
      </c>
      <c r="P274" s="57">
        <f>O274</f>
        <v>21.914438000000001</v>
      </c>
      <c r="Q274" s="57">
        <f t="shared" ref="Q274:S274" si="167">P274</f>
        <v>21.914438000000001</v>
      </c>
      <c r="R274" s="57">
        <f t="shared" si="167"/>
        <v>21.914438000000001</v>
      </c>
      <c r="S274" s="57">
        <f t="shared" si="167"/>
        <v>21.914438000000001</v>
      </c>
    </row>
    <row r="275" spans="2:20" x14ac:dyDescent="0.25">
      <c r="B275" s="56" t="s">
        <v>39</v>
      </c>
      <c r="C275" s="46">
        <f t="shared" ref="C275:S275" si="168">C273*C274</f>
        <v>37.982342580000001</v>
      </c>
      <c r="D275" s="46">
        <f t="shared" si="168"/>
        <v>48.830808779999998</v>
      </c>
      <c r="E275" s="46">
        <f t="shared" si="168"/>
        <v>45.903310200000007</v>
      </c>
      <c r="F275" s="46">
        <f t="shared" si="168"/>
        <v>45.926029600000007</v>
      </c>
      <c r="G275" s="46">
        <f t="shared" si="168"/>
        <v>45.751870349999997</v>
      </c>
      <c r="H275" s="46">
        <f t="shared" si="168"/>
        <v>27.161984199999999</v>
      </c>
      <c r="I275" s="46">
        <f t="shared" si="168"/>
        <v>33.450856000000002</v>
      </c>
      <c r="J275" s="46">
        <f t="shared" si="168"/>
        <v>29.275756999999999</v>
      </c>
      <c r="K275" s="46">
        <f t="shared" si="168"/>
        <v>34.186523280000003</v>
      </c>
      <c r="L275" s="46">
        <f t="shared" si="168"/>
        <v>22.571871140000002</v>
      </c>
      <c r="M275" s="46">
        <f t="shared" si="168"/>
        <v>26.139541646400001</v>
      </c>
      <c r="N275" s="46">
        <f t="shared" si="168"/>
        <v>39.445988400000005</v>
      </c>
      <c r="O275" s="46">
        <f t="shared" si="168"/>
        <v>65.743313999999998</v>
      </c>
      <c r="P275" s="27">
        <f t="shared" si="168"/>
        <v>67.496469040000008</v>
      </c>
      <c r="Q275" s="27">
        <f t="shared" si="168"/>
        <v>67.496469040000008</v>
      </c>
      <c r="R275" s="27">
        <f t="shared" si="168"/>
        <v>67.496469040000008</v>
      </c>
      <c r="S275" s="27">
        <f t="shared" si="168"/>
        <v>67.496469040000008</v>
      </c>
    </row>
    <row r="276" spans="2:20" x14ac:dyDescent="0.25">
      <c r="B276" s="56" t="s">
        <v>40</v>
      </c>
      <c r="C276" s="98">
        <f t="shared" ref="C276:S276" si="169">+C242</f>
        <v>62.198843000000004</v>
      </c>
      <c r="D276" s="98">
        <f t="shared" si="169"/>
        <v>45.989222999999996</v>
      </c>
      <c r="E276" s="98">
        <f t="shared" si="169"/>
        <v>40.809344000000003</v>
      </c>
      <c r="F276" s="98">
        <f t="shared" si="169"/>
        <v>37.753734999999999</v>
      </c>
      <c r="G276" s="98">
        <f t="shared" si="169"/>
        <v>35.082966999999996</v>
      </c>
      <c r="H276" s="98">
        <f t="shared" si="169"/>
        <v>34.534304000000006</v>
      </c>
      <c r="I276" s="98">
        <f t="shared" si="169"/>
        <v>31.291751999999995</v>
      </c>
      <c r="J276" s="98">
        <f t="shared" si="169"/>
        <v>34.08625</v>
      </c>
      <c r="K276" s="98">
        <f t="shared" si="169"/>
        <v>32.597963000000007</v>
      </c>
      <c r="L276" s="98">
        <f t="shared" si="169"/>
        <v>31.521801999999997</v>
      </c>
      <c r="M276" s="98">
        <f t="shared" si="169"/>
        <v>29.050949000000003</v>
      </c>
      <c r="N276" s="98">
        <f t="shared" si="169"/>
        <v>37.006675999999999</v>
      </c>
      <c r="O276" s="98">
        <f t="shared" si="169"/>
        <v>34.669430000000006</v>
      </c>
      <c r="P276" s="125">
        <f t="shared" si="169"/>
        <v>34.686437154234994</v>
      </c>
      <c r="Q276" s="125">
        <f t="shared" si="169"/>
        <v>24.836689951387783</v>
      </c>
      <c r="R276" s="125">
        <f t="shared" si="169"/>
        <v>19.942835538638708</v>
      </c>
      <c r="S276" s="125">
        <f t="shared" si="169"/>
        <v>15.711261008405558</v>
      </c>
    </row>
    <row r="277" spans="2:20" x14ac:dyDescent="0.25">
      <c r="B277" s="56" t="s">
        <v>51</v>
      </c>
      <c r="C277" s="98">
        <f t="shared" ref="C277:S277" si="170">+C147</f>
        <v>17.974164999999999</v>
      </c>
      <c r="D277" s="98">
        <f t="shared" si="170"/>
        <v>16.231445000000001</v>
      </c>
      <c r="E277" s="98">
        <f t="shared" si="170"/>
        <v>17.657019999999999</v>
      </c>
      <c r="F277" s="98">
        <f t="shared" si="170"/>
        <v>16.960588000000001</v>
      </c>
      <c r="G277" s="98">
        <f t="shared" si="170"/>
        <v>11.217504</v>
      </c>
      <c r="H277" s="98">
        <f t="shared" si="170"/>
        <v>9.7708860000000008</v>
      </c>
      <c r="I277" s="98">
        <f t="shared" si="170"/>
        <v>9.8276889999999995</v>
      </c>
      <c r="J277" s="98">
        <f t="shared" si="170"/>
        <v>6.9008440000000002</v>
      </c>
      <c r="K277" s="98">
        <f t="shared" si="170"/>
        <v>4.1779599999999997</v>
      </c>
      <c r="L277" s="98">
        <f t="shared" si="170"/>
        <v>4.1253859999999998</v>
      </c>
      <c r="M277" s="98">
        <f t="shared" si="170"/>
        <v>4.1254169999999997</v>
      </c>
      <c r="N277" s="98">
        <f t="shared" si="170"/>
        <v>6.9832450000000001</v>
      </c>
      <c r="O277" s="98">
        <f t="shared" si="170"/>
        <v>8.4835609999999999</v>
      </c>
      <c r="P277" s="125">
        <f t="shared" si="170"/>
        <v>8.4835609999999999</v>
      </c>
      <c r="Q277" s="125">
        <f t="shared" si="170"/>
        <v>8.4835609999999999</v>
      </c>
      <c r="R277" s="125">
        <f t="shared" si="170"/>
        <v>8.4835609999999999</v>
      </c>
      <c r="S277" s="125">
        <f t="shared" si="170"/>
        <v>8.4835609999999999</v>
      </c>
    </row>
    <row r="278" spans="2:20" x14ac:dyDescent="0.25">
      <c r="B278" s="56" t="s">
        <v>50</v>
      </c>
      <c r="C278" s="98">
        <f t="shared" ref="C278:S278" si="171">+C171</f>
        <v>1.241662</v>
      </c>
      <c r="D278" s="98">
        <f t="shared" si="171"/>
        <v>1.1059019999999999</v>
      </c>
      <c r="E278" s="98">
        <f t="shared" si="171"/>
        <v>0</v>
      </c>
      <c r="F278" s="98">
        <f t="shared" si="171"/>
        <v>0</v>
      </c>
      <c r="G278" s="98">
        <f t="shared" si="171"/>
        <v>0</v>
      </c>
      <c r="H278" s="98">
        <f t="shared" si="171"/>
        <v>0</v>
      </c>
      <c r="I278" s="98">
        <f t="shared" si="171"/>
        <v>0</v>
      </c>
      <c r="J278" s="98">
        <f t="shared" si="171"/>
        <v>0</v>
      </c>
      <c r="K278" s="98">
        <f t="shared" si="171"/>
        <v>0</v>
      </c>
      <c r="L278" s="98">
        <f t="shared" si="171"/>
        <v>0</v>
      </c>
      <c r="M278" s="98">
        <f t="shared" si="171"/>
        <v>0</v>
      </c>
      <c r="N278" s="98">
        <f t="shared" si="171"/>
        <v>8.61E-4</v>
      </c>
      <c r="O278" s="98">
        <f t="shared" si="171"/>
        <v>-1.531E-3</v>
      </c>
      <c r="P278" s="125">
        <f t="shared" si="171"/>
        <v>-1.531E-3</v>
      </c>
      <c r="Q278" s="125">
        <f t="shared" si="171"/>
        <v>-1.531E-3</v>
      </c>
      <c r="R278" s="125">
        <f t="shared" si="171"/>
        <v>-1.531E-3</v>
      </c>
      <c r="S278" s="125">
        <f t="shared" si="171"/>
        <v>-1.531E-3</v>
      </c>
    </row>
    <row r="279" spans="2:20" x14ac:dyDescent="0.25">
      <c r="B279" s="56" t="str">
        <f t="shared" ref="B279:S279" si="172">B153</f>
        <v>Other short-term financial assets</v>
      </c>
      <c r="C279" s="98">
        <f t="shared" si="172"/>
        <v>62.547246999999999</v>
      </c>
      <c r="D279" s="98">
        <f t="shared" si="172"/>
        <v>50.381645000000006</v>
      </c>
      <c r="E279" s="98">
        <f t="shared" si="172"/>
        <v>45.893934999999999</v>
      </c>
      <c r="F279" s="98">
        <f t="shared" si="172"/>
        <v>45.068911999999997</v>
      </c>
      <c r="G279" s="98">
        <f t="shared" si="172"/>
        <v>46.371071000000001</v>
      </c>
      <c r="H279" s="98">
        <f t="shared" si="172"/>
        <v>41.075071000000001</v>
      </c>
      <c r="I279" s="98">
        <f t="shared" si="172"/>
        <v>42.139400000000002</v>
      </c>
      <c r="J279" s="98">
        <f t="shared" si="172"/>
        <v>34.949638999999998</v>
      </c>
      <c r="K279" s="98">
        <f t="shared" si="172"/>
        <v>46.346746000000003</v>
      </c>
      <c r="L279" s="98">
        <f t="shared" si="172"/>
        <v>46.267381</v>
      </c>
      <c r="M279" s="98">
        <f t="shared" si="172"/>
        <v>50.278075999999999</v>
      </c>
      <c r="N279" s="98">
        <f t="shared" si="172"/>
        <v>51.179009000000001</v>
      </c>
      <c r="O279" s="98">
        <f t="shared" si="172"/>
        <v>57.751009000000003</v>
      </c>
      <c r="P279" s="125">
        <f t="shared" si="172"/>
        <v>63.526109900000009</v>
      </c>
      <c r="Q279" s="125">
        <f t="shared" si="172"/>
        <v>69.878720890000011</v>
      </c>
      <c r="R279" s="125">
        <f t="shared" si="172"/>
        <v>76.866592979000018</v>
      </c>
      <c r="S279" s="125">
        <f t="shared" si="172"/>
        <v>84.553252276900025</v>
      </c>
    </row>
    <row r="280" spans="2:20" x14ac:dyDescent="0.25">
      <c r="B280" s="56" t="s">
        <v>41</v>
      </c>
      <c r="C280" s="98">
        <f t="shared" ref="C280:K280" si="173">+SUM(C275,C276,-C277,C278)-C279</f>
        <v>20.901435580000012</v>
      </c>
      <c r="D280" s="98">
        <f t="shared" si="173"/>
        <v>29.31284377999998</v>
      </c>
      <c r="E280" s="98">
        <f t="shared" si="173"/>
        <v>23.161699200000001</v>
      </c>
      <c r="F280" s="98">
        <f t="shared" si="173"/>
        <v>21.6502646</v>
      </c>
      <c r="G280" s="98">
        <f t="shared" si="173"/>
        <v>23.246262349999981</v>
      </c>
      <c r="H280" s="98">
        <f t="shared" si="173"/>
        <v>10.850331200000007</v>
      </c>
      <c r="I280" s="98">
        <f t="shared" si="173"/>
        <v>12.775518999999989</v>
      </c>
      <c r="J280" s="98">
        <f t="shared" si="173"/>
        <v>21.511524000000001</v>
      </c>
      <c r="K280" s="98">
        <f t="shared" si="173"/>
        <v>16.259780280000008</v>
      </c>
      <c r="L280" s="98">
        <f>+SUM(L275,L276,-L277,L278)-L279</f>
        <v>3.7009061400000007</v>
      </c>
      <c r="M280" s="98">
        <f>+SUM(M275,M276,-M277,M278)-M279</f>
        <v>0.78699764640001035</v>
      </c>
      <c r="N280" s="98">
        <f>+SUM(N275,N276,-N277,N278)-N279</f>
        <v>18.291271400000007</v>
      </c>
      <c r="O280" s="98">
        <f>+SUM(O275,O276,-O277,O278)-O279</f>
        <v>34.176643000000006</v>
      </c>
      <c r="P280" s="125">
        <f t="shared" ref="P280:S280" si="174">+SUM(P275,P276,-P277,P278)-P279</f>
        <v>30.171704294234999</v>
      </c>
      <c r="Q280" s="125">
        <f t="shared" si="174"/>
        <v>13.969346101387785</v>
      </c>
      <c r="R280" s="125">
        <f t="shared" si="174"/>
        <v>2.0876195996386997</v>
      </c>
      <c r="S280" s="125">
        <f t="shared" si="174"/>
        <v>-9.8306142284944542</v>
      </c>
    </row>
    <row r="281" spans="2:20" x14ac:dyDescent="0.25">
      <c r="B281" s="56"/>
      <c r="C281" s="24"/>
      <c r="D281" s="24"/>
      <c r="E281" s="24"/>
      <c r="F281" s="24"/>
      <c r="G281" s="24"/>
      <c r="H281" s="24"/>
      <c r="I281" s="24"/>
      <c r="J281" s="24"/>
      <c r="K281" s="24"/>
      <c r="L281" s="24"/>
      <c r="M281" s="24"/>
      <c r="N281" s="24"/>
      <c r="O281" s="24"/>
      <c r="P281" s="43"/>
      <c r="Q281" s="43"/>
      <c r="R281" s="43"/>
      <c r="S281" s="43"/>
    </row>
    <row r="282" spans="2:20" ht="15" customHeight="1" x14ac:dyDescent="0.25">
      <c r="B282" s="76" t="s">
        <v>42</v>
      </c>
      <c r="C282" s="192">
        <f t="shared" ref="C282:S282" si="175">C275/C120</f>
        <v>-0.78390823126557863</v>
      </c>
      <c r="D282" s="192">
        <f t="shared" si="175"/>
        <v>70.552925781227472</v>
      </c>
      <c r="E282" s="192">
        <f t="shared" si="175"/>
        <v>39.376903465775548</v>
      </c>
      <c r="F282" s="192">
        <f t="shared" si="175"/>
        <v>49.715009320340421</v>
      </c>
      <c r="G282" s="192">
        <f t="shared" si="175"/>
        <v>139.95292374942198</v>
      </c>
      <c r="H282" s="192">
        <f t="shared" si="175"/>
        <v>197.64951209750896</v>
      </c>
      <c r="I282" s="192">
        <f t="shared" si="175"/>
        <v>31.645481292275626</v>
      </c>
      <c r="J282" s="192">
        <f t="shared" si="175"/>
        <v>-8.1254895636995563</v>
      </c>
      <c r="K282" s="192">
        <f t="shared" si="175"/>
        <v>28.165430260608179</v>
      </c>
      <c r="L282" s="192">
        <f t="shared" si="175"/>
        <v>15.06888998819692</v>
      </c>
      <c r="M282" s="192">
        <f t="shared" si="175"/>
        <v>11.331968175599167</v>
      </c>
      <c r="N282" s="192">
        <f t="shared" si="175"/>
        <v>14.119824316488058</v>
      </c>
      <c r="O282" s="192">
        <f t="shared" si="175"/>
        <v>14.449845365435836</v>
      </c>
      <c r="P282" s="200">
        <f t="shared" si="175"/>
        <v>14.414077006594269</v>
      </c>
      <c r="Q282" s="200">
        <f t="shared" si="175"/>
        <v>10.495537392695951</v>
      </c>
      <c r="R282" s="200">
        <f t="shared" si="175"/>
        <v>8.8974296127258867</v>
      </c>
      <c r="S282" s="200">
        <f t="shared" si="175"/>
        <v>7.4259286586762139</v>
      </c>
    </row>
    <row r="283" spans="2:20" ht="15" customHeight="1" x14ac:dyDescent="0.25">
      <c r="B283" s="76" t="s">
        <v>43</v>
      </c>
      <c r="C283" s="192">
        <f t="shared" ref="C283:S283" si="176">+IFERROR(C280/C249,"NA")</f>
        <v>-0.76018826278652551</v>
      </c>
      <c r="D283" s="192">
        <f t="shared" si="176"/>
        <v>7.1632414934068329</v>
      </c>
      <c r="E283" s="192">
        <f t="shared" si="176"/>
        <v>4.4023195252686218</v>
      </c>
      <c r="F283" s="192">
        <f t="shared" si="176"/>
        <v>3.4961967173617063</v>
      </c>
      <c r="G283" s="192">
        <f t="shared" si="176"/>
        <v>7.5656551739176194</v>
      </c>
      <c r="H283" s="192">
        <f t="shared" si="176"/>
        <v>-6.108853175239914</v>
      </c>
      <c r="I283" s="192">
        <f t="shared" si="176"/>
        <v>-137.1985673937113</v>
      </c>
      <c r="J283" s="192">
        <f t="shared" si="176"/>
        <v>-9.5656131897392456</v>
      </c>
      <c r="K283" s="192">
        <f t="shared" si="176"/>
        <v>28.177810765940713</v>
      </c>
      <c r="L283" s="192">
        <f t="shared" si="176"/>
        <v>1.6345437360849377</v>
      </c>
      <c r="M283" s="192">
        <f t="shared" si="176"/>
        <v>0.253093782107152</v>
      </c>
      <c r="N283" s="192">
        <f t="shared" si="176"/>
        <v>4.8755258418227099</v>
      </c>
      <c r="O283" s="192">
        <f t="shared" si="176"/>
        <v>6.0642732377811885</v>
      </c>
      <c r="P283" s="200">
        <f t="shared" si="176"/>
        <v>5.9145627817673594</v>
      </c>
      <c r="Q283" s="200">
        <f t="shared" si="176"/>
        <v>1.5833444250312922</v>
      </c>
      <c r="R283" s="200">
        <f t="shared" si="176"/>
        <v>0.20261202500269529</v>
      </c>
      <c r="S283" s="200">
        <f t="shared" si="176"/>
        <v>-0.80184301339963671</v>
      </c>
    </row>
    <row r="284" spans="2:20" ht="15" customHeight="1" x14ac:dyDescent="0.25">
      <c r="B284" s="76" t="s">
        <v>65</v>
      </c>
      <c r="C284" s="192">
        <f t="shared" ref="C284:S284" si="177">+IFERROR(C280/C107,"NA")</f>
        <v>-0.44837297117925667</v>
      </c>
      <c r="D284" s="192">
        <f t="shared" si="177"/>
        <v>2.8293737314419372</v>
      </c>
      <c r="E284" s="192">
        <f t="shared" si="177"/>
        <v>10.828855942366301</v>
      </c>
      <c r="F284" s="192">
        <f t="shared" si="177"/>
        <v>3.4070808503781023</v>
      </c>
      <c r="G284" s="192">
        <f t="shared" si="177"/>
        <v>11.363981264259186</v>
      </c>
      <c r="H284" s="192">
        <f t="shared" si="177"/>
        <v>6.8672330325977997</v>
      </c>
      <c r="I284" s="192">
        <f t="shared" si="177"/>
        <v>6.1330155016170718</v>
      </c>
      <c r="J284" s="192">
        <f t="shared" si="177"/>
        <v>-7.1495550373704839</v>
      </c>
      <c r="K284" s="192">
        <f t="shared" si="177"/>
        <v>7.8825476195208619</v>
      </c>
      <c r="L284" s="192">
        <f t="shared" si="177"/>
        <v>1.3384759721014181</v>
      </c>
      <c r="M284" s="192">
        <f t="shared" si="177"/>
        <v>0.17794241124219784</v>
      </c>
      <c r="N284" s="192">
        <f t="shared" si="177"/>
        <v>3.3402406559199616</v>
      </c>
      <c r="O284" s="192">
        <f t="shared" si="177"/>
        <v>4.3762364434426004</v>
      </c>
      <c r="P284" s="200">
        <f t="shared" si="177"/>
        <v>3.5758063032444962</v>
      </c>
      <c r="Q284" s="200">
        <f t="shared" si="177"/>
        <v>1.2868307663639804</v>
      </c>
      <c r="R284" s="200">
        <f t="shared" si="177"/>
        <v>0.16763832485733635</v>
      </c>
      <c r="S284" s="200">
        <f t="shared" si="177"/>
        <v>-0.67647643495592114</v>
      </c>
    </row>
    <row r="285" spans="2:20" ht="15" customHeight="1" x14ac:dyDescent="0.25">
      <c r="B285" s="76" t="s">
        <v>44</v>
      </c>
      <c r="C285" s="201">
        <f t="shared" ref="C285:S285" si="178">+IFERROR(C275/C248,"NA")</f>
        <v>0.3751492092099436</v>
      </c>
      <c r="D285" s="201">
        <f t="shared" si="178"/>
        <v>0.5134940572906862</v>
      </c>
      <c r="E285" s="201">
        <f t="shared" si="178"/>
        <v>0.4793829113819949</v>
      </c>
      <c r="F285" s="201">
        <f t="shared" si="178"/>
        <v>0.48004863408189458</v>
      </c>
      <c r="G285" s="201">
        <f t="shared" si="178"/>
        <v>0.48825615180002768</v>
      </c>
      <c r="H285" s="201">
        <f t="shared" si="178"/>
        <v>0.29565003757779257</v>
      </c>
      <c r="I285" s="201">
        <f t="shared" si="178"/>
        <v>0.34810060047638092</v>
      </c>
      <c r="J285" s="201">
        <f t="shared" si="178"/>
        <v>0.3331804669179016</v>
      </c>
      <c r="K285" s="201">
        <f t="shared" si="178"/>
        <v>0.37347012331175083</v>
      </c>
      <c r="L285" s="201">
        <f t="shared" si="178"/>
        <v>0.24443818612791948</v>
      </c>
      <c r="M285" s="201">
        <f t="shared" si="178"/>
        <v>0.27357934939136219</v>
      </c>
      <c r="N285" s="201">
        <f t="shared" si="178"/>
        <v>0.40702834959582984</v>
      </c>
      <c r="O285" s="201">
        <f t="shared" si="178"/>
        <v>0.62798098263008484</v>
      </c>
      <c r="P285" s="202">
        <f t="shared" si="178"/>
        <v>0.59130790265322641</v>
      </c>
      <c r="Q285" s="202">
        <f t="shared" si="178"/>
        <v>0.53597835590310594</v>
      </c>
      <c r="R285" s="202">
        <f t="shared" si="178"/>
        <v>0.48382738056108959</v>
      </c>
      <c r="S285" s="202">
        <f t="shared" si="178"/>
        <v>0.44323565743773785</v>
      </c>
    </row>
    <row r="286" spans="2:20" ht="15" customHeight="1" x14ac:dyDescent="0.25">
      <c r="B286" s="76" t="s">
        <v>45</v>
      </c>
      <c r="C286" s="203" t="str">
        <f t="shared" ref="C286:S286" si="179">IFERROR((-C226/C275),"NA")</f>
        <v>NA</v>
      </c>
      <c r="D286" s="203">
        <f t="shared" si="179"/>
        <v>0</v>
      </c>
      <c r="E286" s="203">
        <f t="shared" si="179"/>
        <v>0</v>
      </c>
      <c r="F286" s="203">
        <f t="shared" si="179"/>
        <v>0</v>
      </c>
      <c r="G286" s="203">
        <f t="shared" si="179"/>
        <v>0</v>
      </c>
      <c r="H286" s="203">
        <f t="shared" si="179"/>
        <v>0</v>
      </c>
      <c r="I286" s="203">
        <f t="shared" si="179"/>
        <v>0</v>
      </c>
      <c r="J286" s="203">
        <f t="shared" si="179"/>
        <v>0</v>
      </c>
      <c r="K286" s="203">
        <f t="shared" si="179"/>
        <v>0</v>
      </c>
      <c r="L286" s="203">
        <f t="shared" si="179"/>
        <v>0</v>
      </c>
      <c r="M286" s="203">
        <f t="shared" si="179"/>
        <v>0</v>
      </c>
      <c r="N286" s="203">
        <f t="shared" si="179"/>
        <v>0</v>
      </c>
      <c r="O286" s="203">
        <f t="shared" si="179"/>
        <v>0</v>
      </c>
      <c r="P286" s="204">
        <f t="shared" si="179"/>
        <v>1.4815589826000768E-2</v>
      </c>
      <c r="Q286" s="204">
        <f t="shared" si="179"/>
        <v>1.4815589826000768E-2</v>
      </c>
      <c r="R286" s="204">
        <f t="shared" si="179"/>
        <v>1.4815589826000768E-2</v>
      </c>
      <c r="S286" s="204">
        <f t="shared" si="179"/>
        <v>5.9262359304003073E-2</v>
      </c>
    </row>
    <row r="287" spans="2:20" ht="15" customHeight="1" x14ac:dyDescent="0.25">
      <c r="B287" s="76" t="s">
        <v>46</v>
      </c>
      <c r="C287" s="203">
        <f t="shared" ref="C287:S287" si="180">+IFERROR(C120/C172,"NA")</f>
        <v>-0.4785626610965481</v>
      </c>
      <c r="D287" s="203">
        <f t="shared" si="180"/>
        <v>7.2781398022095248E-3</v>
      </c>
      <c r="E287" s="203">
        <f t="shared" si="180"/>
        <v>1.2174215572807819E-2</v>
      </c>
      <c r="F287" s="203">
        <f t="shared" si="180"/>
        <v>9.6560101394869355E-3</v>
      </c>
      <c r="G287" s="203">
        <f t="shared" si="180"/>
        <v>3.4887170537017394E-3</v>
      </c>
      <c r="H287" s="203">
        <f t="shared" si="180"/>
        <v>1.4958298375760003E-3</v>
      </c>
      <c r="I287" s="203">
        <f t="shared" si="180"/>
        <v>1.1000009677885642E-2</v>
      </c>
      <c r="J287" s="203">
        <f t="shared" si="180"/>
        <v>-4.1004356021374741E-2</v>
      </c>
      <c r="K287" s="203">
        <f t="shared" si="180"/>
        <v>1.3259876375262818E-2</v>
      </c>
      <c r="L287" s="203">
        <f t="shared" si="180"/>
        <v>1.6221379698131831E-2</v>
      </c>
      <c r="M287" s="203">
        <f t="shared" si="180"/>
        <v>2.4142262416554743E-2</v>
      </c>
      <c r="N287" s="203">
        <f t="shared" ref="N287:O287" si="181">+IFERROR(N120/N172,"NA")</f>
        <v>2.8826729035185874E-2</v>
      </c>
      <c r="O287" s="203">
        <f t="shared" si="181"/>
        <v>4.3459356605449986E-2</v>
      </c>
      <c r="P287" s="204">
        <f t="shared" si="180"/>
        <v>4.1022945998048302E-2</v>
      </c>
      <c r="Q287" s="204">
        <f t="shared" si="180"/>
        <v>5.1067261813206796E-2</v>
      </c>
      <c r="R287" s="204">
        <f t="shared" si="180"/>
        <v>5.4378331902629175E-2</v>
      </c>
      <c r="S287" s="204">
        <f t="shared" si="180"/>
        <v>5.9687572802073138E-2</v>
      </c>
    </row>
    <row r="288" spans="2:20" ht="18.75" x14ac:dyDescent="0.4">
      <c r="C288" s="70"/>
      <c r="D288" s="70"/>
      <c r="E288" s="70"/>
      <c r="F288" s="70"/>
      <c r="G288" s="70"/>
      <c r="H288" s="70"/>
      <c r="I288" s="70"/>
      <c r="J288" s="70"/>
      <c r="K288" s="70"/>
      <c r="L288" s="70"/>
      <c r="M288" s="70"/>
      <c r="N288" s="70"/>
      <c r="O288" s="70"/>
      <c r="P288" s="70"/>
      <c r="Q288" s="70"/>
      <c r="R288" s="70"/>
      <c r="S288" s="70"/>
      <c r="T288" s="70"/>
    </row>
    <row r="290" spans="1:16344" x14ac:dyDescent="0.25">
      <c r="A290" s="3"/>
      <c r="B290" s="3"/>
      <c r="C290" s="3"/>
      <c r="D290" s="3"/>
      <c r="E290" s="3"/>
      <c r="F290" s="3"/>
      <c r="G290" s="3"/>
      <c r="H290" s="3"/>
      <c r="I290" s="3"/>
      <c r="J290" s="31"/>
      <c r="K290" s="31"/>
      <c r="L290" s="31"/>
      <c r="M290" s="31"/>
      <c r="N290" s="31"/>
      <c r="O290" s="31"/>
      <c r="P290" s="31"/>
      <c r="Q290" s="31"/>
      <c r="R290" s="31"/>
      <c r="S290" s="31"/>
      <c r="T290" s="31"/>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c r="BY290" s="3"/>
      <c r="BZ290" s="3"/>
      <c r="CA290" s="3"/>
      <c r="CB290" s="3"/>
      <c r="CC290" s="3"/>
      <c r="CD290" s="3"/>
      <c r="CE290" s="3"/>
      <c r="CF290" s="3"/>
      <c r="CG290" s="3"/>
      <c r="CH290" s="3"/>
      <c r="CI290" s="3"/>
      <c r="CJ290" s="3"/>
      <c r="CK290" s="3"/>
      <c r="CL290" s="3"/>
      <c r="CM290" s="3"/>
      <c r="CN290" s="3"/>
      <c r="CO290" s="3"/>
      <c r="CP290" s="3"/>
      <c r="CQ290" s="3"/>
      <c r="CR290" s="3"/>
      <c r="CS290" s="3"/>
      <c r="CT290" s="3"/>
      <c r="CU290" s="3"/>
      <c r="CV290" s="3"/>
      <c r="CW290" s="3"/>
      <c r="CX290" s="3"/>
      <c r="CY290" s="3"/>
      <c r="CZ290" s="3"/>
      <c r="DA290" s="3"/>
      <c r="DB290" s="3"/>
      <c r="DC290" s="3"/>
      <c r="DD290" s="3"/>
      <c r="DE290" s="3"/>
      <c r="DF290" s="3"/>
      <c r="DG290" s="3"/>
      <c r="DH290" s="3"/>
      <c r="DI290" s="3"/>
      <c r="DJ290" s="3"/>
      <c r="DK290" s="3"/>
      <c r="DL290" s="3"/>
      <c r="DM290" s="3"/>
      <c r="DN290" s="3"/>
      <c r="DO290" s="3"/>
      <c r="DP290" s="3"/>
      <c r="DQ290" s="3"/>
      <c r="DR290" s="3"/>
      <c r="DS290" s="3"/>
      <c r="DT290" s="3"/>
      <c r="DU290" s="3"/>
      <c r="DV290" s="3"/>
      <c r="DW290" s="3"/>
      <c r="DX290" s="3"/>
      <c r="DY290" s="3"/>
      <c r="DZ290" s="3"/>
      <c r="EA290" s="3"/>
      <c r="EB290" s="3"/>
      <c r="EC290" s="3"/>
      <c r="ED290" s="3"/>
      <c r="EE290" s="3"/>
      <c r="EF290" s="3"/>
      <c r="EG290" s="3"/>
      <c r="EH290" s="3"/>
      <c r="EI290" s="3"/>
      <c r="EJ290" s="3"/>
      <c r="EK290" s="3"/>
      <c r="EL290" s="3"/>
      <c r="EM290" s="3"/>
      <c r="EN290" s="3"/>
      <c r="EO290" s="3"/>
      <c r="EP290" s="3"/>
      <c r="EQ290" s="3"/>
      <c r="ER290" s="3"/>
      <c r="ES290" s="3"/>
      <c r="ET290" s="3"/>
      <c r="EU290" s="3"/>
      <c r="EV290" s="3"/>
      <c r="EW290" s="3"/>
      <c r="EX290" s="3"/>
      <c r="EY290" s="3"/>
      <c r="EZ290" s="3"/>
      <c r="FA290" s="3"/>
      <c r="FB290" s="3"/>
      <c r="FC290" s="3"/>
      <c r="FD290" s="3"/>
      <c r="FE290" s="3"/>
      <c r="FF290" s="3"/>
      <c r="FG290" s="3"/>
      <c r="FH290" s="3"/>
      <c r="FI290" s="3"/>
      <c r="FJ290" s="3"/>
      <c r="FK290" s="3"/>
      <c r="FL290" s="3"/>
      <c r="FM290" s="3"/>
      <c r="FN290" s="3"/>
      <c r="FO290" s="3"/>
      <c r="FP290" s="3"/>
      <c r="FQ290" s="3"/>
      <c r="FR290" s="3"/>
      <c r="FS290" s="3"/>
      <c r="FT290" s="3"/>
      <c r="FU290" s="3"/>
      <c r="FV290" s="3"/>
      <c r="FW290" s="3"/>
      <c r="FX290" s="3"/>
      <c r="FY290" s="3"/>
      <c r="FZ290" s="3"/>
      <c r="GA290" s="3"/>
      <c r="GB290" s="3"/>
      <c r="GC290" s="3"/>
      <c r="GD290" s="3"/>
      <c r="GE290" s="3"/>
      <c r="GF290" s="3"/>
      <c r="GG290" s="3"/>
      <c r="GH290" s="3"/>
      <c r="GI290" s="3"/>
      <c r="GJ290" s="3"/>
      <c r="GK290" s="3"/>
      <c r="GL290" s="3"/>
      <c r="GM290" s="3"/>
      <c r="GN290" s="3"/>
      <c r="GO290" s="3"/>
      <c r="GP290" s="3"/>
      <c r="GQ290" s="3"/>
      <c r="GR290" s="3"/>
      <c r="GS290" s="3"/>
      <c r="GT290" s="3"/>
      <c r="GU290" s="3"/>
      <c r="GV290" s="3"/>
      <c r="GW290" s="3"/>
      <c r="GX290" s="3"/>
      <c r="GY290" s="3"/>
      <c r="GZ290" s="3"/>
      <c r="HA290" s="3"/>
      <c r="HB290" s="3"/>
      <c r="HC290" s="3"/>
      <c r="HD290" s="3"/>
      <c r="HE290" s="3"/>
      <c r="HF290" s="3"/>
      <c r="HG290" s="3"/>
      <c r="HH290" s="3"/>
      <c r="HI290" s="3"/>
      <c r="HJ290" s="3"/>
      <c r="HK290" s="3"/>
      <c r="HL290" s="3"/>
      <c r="HM290" s="3"/>
      <c r="HN290" s="3"/>
      <c r="HO290" s="3"/>
      <c r="HP290" s="3"/>
      <c r="HQ290" s="3"/>
      <c r="HR290" s="3"/>
      <c r="HS290" s="3"/>
      <c r="HT290" s="3"/>
      <c r="HU290" s="3"/>
      <c r="HV290" s="3"/>
      <c r="HW290" s="3"/>
      <c r="HX290" s="3"/>
      <c r="HY290" s="3"/>
      <c r="HZ290" s="3"/>
      <c r="IA290" s="3"/>
      <c r="IB290" s="3"/>
      <c r="IC290" s="3"/>
      <c r="ID290" s="3"/>
      <c r="IE290" s="3"/>
      <c r="IF290" s="3"/>
      <c r="IG290" s="3"/>
      <c r="IH290" s="3"/>
      <c r="II290" s="3"/>
      <c r="IJ290" s="3"/>
      <c r="IK290" s="3"/>
      <c r="IL290" s="3"/>
      <c r="IM290" s="3"/>
      <c r="IN290" s="3"/>
      <c r="IO290" s="3"/>
      <c r="IP290" s="3"/>
      <c r="IQ290" s="3"/>
      <c r="IR290" s="3"/>
      <c r="IS290" s="3"/>
      <c r="IT290" s="3"/>
      <c r="IU290" s="3"/>
      <c r="IV290" s="3"/>
      <c r="IW290" s="3"/>
      <c r="IX290" s="3"/>
      <c r="IY290" s="3"/>
      <c r="IZ290" s="3"/>
      <c r="JA290" s="3"/>
      <c r="JB290" s="3"/>
      <c r="JC290" s="3"/>
      <c r="JD290" s="3"/>
      <c r="JE290" s="3"/>
      <c r="JF290" s="3"/>
      <c r="JG290" s="3"/>
      <c r="JH290" s="3"/>
      <c r="JI290" s="3"/>
      <c r="JJ290" s="3"/>
      <c r="JK290" s="3"/>
      <c r="JL290" s="3"/>
      <c r="JM290" s="3"/>
      <c r="JN290" s="3"/>
      <c r="JO290" s="3"/>
      <c r="JP290" s="3"/>
      <c r="JQ290" s="3"/>
      <c r="JR290" s="3"/>
      <c r="JS290" s="3"/>
      <c r="JT290" s="3"/>
      <c r="JU290" s="3"/>
      <c r="JV290" s="3"/>
      <c r="JW290" s="3"/>
      <c r="JX290" s="3"/>
      <c r="JY290" s="3"/>
      <c r="JZ290" s="3"/>
      <c r="KA290" s="3"/>
      <c r="KB290" s="3"/>
      <c r="KC290" s="3"/>
      <c r="KD290" s="3"/>
      <c r="KE290" s="3"/>
      <c r="KF290" s="3"/>
      <c r="KG290" s="3"/>
      <c r="KH290" s="3"/>
      <c r="KI290" s="3"/>
      <c r="KJ290" s="3"/>
      <c r="KK290" s="3"/>
      <c r="KL290" s="3"/>
      <c r="KM290" s="3"/>
      <c r="KN290" s="3"/>
      <c r="KO290" s="3"/>
      <c r="KP290" s="3"/>
      <c r="KQ290" s="3"/>
      <c r="KR290" s="3"/>
      <c r="KS290" s="3"/>
      <c r="KT290" s="3"/>
      <c r="KU290" s="3"/>
      <c r="KV290" s="3"/>
      <c r="KW290" s="3"/>
      <c r="KX290" s="3"/>
      <c r="KY290" s="3"/>
      <c r="KZ290" s="3"/>
      <c r="LA290" s="3"/>
      <c r="LB290" s="3"/>
      <c r="LC290" s="3"/>
      <c r="LD290" s="3"/>
      <c r="LE290" s="3"/>
      <c r="LF290" s="3"/>
      <c r="LG290" s="3"/>
      <c r="LH290" s="3"/>
      <c r="LI290" s="3"/>
      <c r="LJ290" s="3"/>
      <c r="LK290" s="3"/>
      <c r="LL290" s="3"/>
      <c r="LM290" s="3"/>
      <c r="LN290" s="3"/>
      <c r="LO290" s="3"/>
      <c r="LP290" s="3"/>
      <c r="LQ290" s="3"/>
      <c r="LR290" s="3"/>
      <c r="LS290" s="3"/>
      <c r="LT290" s="3"/>
      <c r="LU290" s="3"/>
      <c r="LV290" s="3"/>
      <c r="LW290" s="3"/>
      <c r="LX290" s="3"/>
      <c r="LY290" s="3"/>
      <c r="LZ290" s="3"/>
      <c r="MA290" s="3"/>
      <c r="MB290" s="3"/>
      <c r="MC290" s="3"/>
      <c r="MD290" s="3"/>
      <c r="ME290" s="3"/>
      <c r="MF290" s="3"/>
      <c r="MG290" s="3"/>
      <c r="MH290" s="3"/>
      <c r="MI290" s="3"/>
      <c r="MJ290" s="3"/>
      <c r="MK290" s="3"/>
      <c r="ML290" s="3"/>
      <c r="MM290" s="3"/>
      <c r="MN290" s="3"/>
      <c r="MO290" s="3"/>
      <c r="MP290" s="3"/>
      <c r="MQ290" s="3"/>
      <c r="MR290" s="3"/>
      <c r="MS290" s="3"/>
      <c r="MT290" s="3"/>
      <c r="MU290" s="3"/>
      <c r="MV290" s="3"/>
      <c r="MW290" s="3"/>
      <c r="MX290" s="3"/>
      <c r="MY290" s="3"/>
      <c r="MZ290" s="3"/>
      <c r="NA290" s="3"/>
      <c r="NB290" s="3"/>
      <c r="NC290" s="3"/>
      <c r="ND290" s="3"/>
      <c r="NE290" s="3"/>
      <c r="NF290" s="3"/>
      <c r="NG290" s="3"/>
      <c r="NH290" s="3"/>
      <c r="NI290" s="3"/>
      <c r="NJ290" s="3"/>
      <c r="NK290" s="3"/>
      <c r="NL290" s="3"/>
      <c r="NM290" s="3"/>
      <c r="NN290" s="3"/>
      <c r="NO290" s="3"/>
      <c r="NP290" s="3"/>
      <c r="NQ290" s="3"/>
      <c r="NR290" s="3"/>
      <c r="NS290" s="3"/>
      <c r="NT290" s="3"/>
      <c r="NU290" s="3"/>
      <c r="NV290" s="3"/>
      <c r="NW290" s="3"/>
      <c r="NX290" s="3"/>
      <c r="NY290" s="3"/>
      <c r="NZ290" s="3"/>
      <c r="OA290" s="3"/>
      <c r="OB290" s="3"/>
      <c r="OC290" s="3"/>
      <c r="OD290" s="3"/>
      <c r="OE290" s="3"/>
      <c r="OF290" s="3"/>
      <c r="OG290" s="3"/>
      <c r="OH290" s="3"/>
      <c r="OI290" s="3"/>
      <c r="OJ290" s="3"/>
      <c r="OK290" s="3"/>
      <c r="OL290" s="3"/>
      <c r="OM290" s="3"/>
      <c r="ON290" s="3"/>
      <c r="OO290" s="3"/>
      <c r="OP290" s="3"/>
      <c r="OQ290" s="3"/>
      <c r="OR290" s="3"/>
      <c r="OS290" s="3"/>
      <c r="OT290" s="3"/>
      <c r="OU290" s="3"/>
      <c r="OV290" s="3"/>
      <c r="OW290" s="3"/>
      <c r="OX290" s="3"/>
      <c r="OY290" s="3"/>
      <c r="OZ290" s="3"/>
      <c r="PA290" s="3"/>
      <c r="PB290" s="3"/>
      <c r="PC290" s="3"/>
      <c r="PD290" s="3"/>
      <c r="PE290" s="3"/>
      <c r="PF290" s="3"/>
      <c r="PG290" s="3"/>
      <c r="PH290" s="3"/>
      <c r="PI290" s="3"/>
      <c r="PJ290" s="3"/>
      <c r="PK290" s="3"/>
      <c r="PL290" s="3"/>
      <c r="PM290" s="3"/>
      <c r="PN290" s="3"/>
      <c r="PO290" s="3"/>
      <c r="PP290" s="3"/>
      <c r="PQ290" s="3"/>
      <c r="PR290" s="3"/>
      <c r="PS290" s="3"/>
      <c r="PT290" s="3"/>
      <c r="PU290" s="3"/>
      <c r="PV290" s="3"/>
      <c r="PW290" s="3"/>
      <c r="PX290" s="3"/>
      <c r="PY290" s="3"/>
      <c r="PZ290" s="3"/>
      <c r="QA290" s="3"/>
      <c r="QB290" s="3"/>
      <c r="QC290" s="3"/>
      <c r="QD290" s="3"/>
      <c r="QE290" s="3"/>
      <c r="QF290" s="3"/>
      <c r="QG290" s="3"/>
      <c r="QH290" s="3"/>
      <c r="QI290" s="3"/>
      <c r="QJ290" s="3"/>
      <c r="QK290" s="3"/>
      <c r="QL290" s="3"/>
      <c r="QM290" s="3"/>
      <c r="QN290" s="3"/>
      <c r="QO290" s="3"/>
      <c r="QP290" s="3"/>
      <c r="QQ290" s="3"/>
      <c r="QR290" s="3"/>
      <c r="QS290" s="3"/>
      <c r="QT290" s="3"/>
      <c r="QU290" s="3"/>
      <c r="QV290" s="3"/>
      <c r="QW290" s="3"/>
      <c r="QX290" s="3"/>
      <c r="QY290" s="3"/>
      <c r="QZ290" s="3"/>
      <c r="RA290" s="3"/>
      <c r="RB290" s="3"/>
      <c r="RC290" s="3"/>
      <c r="RD290" s="3"/>
      <c r="RE290" s="3"/>
      <c r="RF290" s="3"/>
      <c r="RG290" s="3"/>
      <c r="RH290" s="3"/>
      <c r="RI290" s="3"/>
      <c r="RJ290" s="3"/>
      <c r="RK290" s="3"/>
      <c r="RL290" s="3"/>
      <c r="RM290" s="3"/>
      <c r="RN290" s="3"/>
      <c r="RO290" s="3"/>
      <c r="RP290" s="3"/>
      <c r="RQ290" s="3"/>
      <c r="RR290" s="3"/>
      <c r="RS290" s="3"/>
      <c r="RT290" s="3"/>
      <c r="RU290" s="3"/>
      <c r="RV290" s="3"/>
      <c r="RW290" s="3"/>
      <c r="RX290" s="3"/>
      <c r="RY290" s="3"/>
      <c r="RZ290" s="3"/>
      <c r="SA290" s="3"/>
      <c r="SB290" s="3"/>
      <c r="SC290" s="3"/>
      <c r="SD290" s="3"/>
      <c r="SE290" s="3"/>
      <c r="SF290" s="3"/>
      <c r="SG290" s="3"/>
      <c r="SH290" s="3"/>
      <c r="SI290" s="3"/>
      <c r="SJ290" s="3"/>
      <c r="SK290" s="3"/>
      <c r="SL290" s="3"/>
      <c r="SM290" s="3"/>
      <c r="SN290" s="3"/>
      <c r="SO290" s="3"/>
      <c r="SP290" s="3"/>
      <c r="SQ290" s="3"/>
      <c r="SR290" s="3"/>
      <c r="SS290" s="3"/>
      <c r="ST290" s="3"/>
      <c r="SU290" s="3"/>
      <c r="SV290" s="3"/>
      <c r="SW290" s="3"/>
      <c r="SX290" s="3"/>
      <c r="SY290" s="3"/>
      <c r="SZ290" s="3"/>
      <c r="TA290" s="3"/>
      <c r="TB290" s="3"/>
      <c r="TC290" s="3"/>
      <c r="TD290" s="3"/>
      <c r="TE290" s="3"/>
      <c r="TF290" s="3"/>
      <c r="TG290" s="3"/>
      <c r="TH290" s="3"/>
      <c r="TI290" s="3"/>
      <c r="TJ290" s="3"/>
      <c r="TK290" s="3"/>
      <c r="TL290" s="3"/>
      <c r="TM290" s="3"/>
      <c r="TN290" s="3"/>
      <c r="TO290" s="3"/>
      <c r="TP290" s="3"/>
      <c r="TQ290" s="3"/>
      <c r="TR290" s="3"/>
      <c r="TS290" s="3"/>
      <c r="TT290" s="3"/>
      <c r="TU290" s="3"/>
      <c r="TV290" s="3"/>
      <c r="TW290" s="3"/>
      <c r="TX290" s="3"/>
      <c r="TY290" s="3"/>
      <c r="TZ290" s="3"/>
      <c r="UA290" s="3"/>
      <c r="UB290" s="3"/>
      <c r="UC290" s="3"/>
      <c r="UD290" s="3"/>
      <c r="UE290" s="3"/>
      <c r="UF290" s="3"/>
      <c r="UG290" s="3"/>
      <c r="UH290" s="3"/>
      <c r="UI290" s="3"/>
      <c r="UJ290" s="3"/>
      <c r="UK290" s="3"/>
      <c r="UL290" s="3"/>
      <c r="UM290" s="3"/>
      <c r="UN290" s="3"/>
      <c r="UO290" s="3"/>
      <c r="UP290" s="3"/>
      <c r="UQ290" s="3"/>
      <c r="UR290" s="3"/>
      <c r="US290" s="3"/>
      <c r="UT290" s="3"/>
      <c r="UU290" s="3"/>
      <c r="UV290" s="3"/>
      <c r="UW290" s="3"/>
      <c r="UX290" s="3"/>
      <c r="UY290" s="3"/>
      <c r="UZ290" s="3"/>
      <c r="VA290" s="3"/>
      <c r="VB290" s="3"/>
      <c r="VC290" s="3"/>
      <c r="VD290" s="3"/>
      <c r="VE290" s="3"/>
      <c r="VF290" s="3"/>
      <c r="VG290" s="3"/>
      <c r="VH290" s="3"/>
      <c r="VI290" s="3"/>
      <c r="VJ290" s="3"/>
      <c r="VK290" s="3"/>
      <c r="VL290" s="3"/>
      <c r="VM290" s="3"/>
      <c r="VN290" s="3"/>
      <c r="VO290" s="3"/>
      <c r="VP290" s="3"/>
      <c r="VQ290" s="3"/>
      <c r="VR290" s="3"/>
      <c r="VS290" s="3"/>
      <c r="VT290" s="3"/>
      <c r="VU290" s="3"/>
      <c r="VV290" s="3"/>
      <c r="VW290" s="3"/>
      <c r="VX290" s="3"/>
      <c r="VY290" s="3"/>
      <c r="VZ290" s="3"/>
      <c r="WA290" s="3"/>
      <c r="WB290" s="3"/>
      <c r="WC290" s="3"/>
      <c r="WD290" s="3"/>
      <c r="WE290" s="3"/>
      <c r="WF290" s="3"/>
      <c r="WG290" s="3"/>
      <c r="WH290" s="3"/>
      <c r="WI290" s="3"/>
      <c r="WJ290" s="3"/>
      <c r="WK290" s="3"/>
      <c r="WL290" s="3"/>
      <c r="WM290" s="3"/>
      <c r="WN290" s="3"/>
      <c r="WO290" s="3"/>
      <c r="WP290" s="3"/>
      <c r="WQ290" s="3"/>
      <c r="WR290" s="3"/>
      <c r="WS290" s="3"/>
      <c r="WT290" s="3"/>
      <c r="WU290" s="3"/>
      <c r="WV290" s="3"/>
      <c r="WW290" s="3"/>
      <c r="WX290" s="3"/>
      <c r="WY290" s="3"/>
      <c r="WZ290" s="3"/>
      <c r="XA290" s="3"/>
      <c r="XB290" s="3"/>
      <c r="XC290" s="3"/>
      <c r="XD290" s="3"/>
      <c r="XE290" s="3"/>
      <c r="XF290" s="3"/>
      <c r="XG290" s="3"/>
      <c r="XH290" s="3"/>
      <c r="XI290" s="3"/>
      <c r="XJ290" s="3"/>
      <c r="XK290" s="3"/>
      <c r="XL290" s="3"/>
      <c r="XM290" s="3"/>
      <c r="XN290" s="3"/>
      <c r="XO290" s="3"/>
      <c r="XP290" s="3"/>
      <c r="XQ290" s="3"/>
      <c r="XR290" s="3"/>
      <c r="XS290" s="3"/>
      <c r="XT290" s="3"/>
      <c r="XU290" s="3"/>
      <c r="XV290" s="3"/>
      <c r="XW290" s="3"/>
      <c r="XX290" s="3"/>
      <c r="XY290" s="3"/>
      <c r="XZ290" s="3"/>
      <c r="YA290" s="3"/>
      <c r="YB290" s="3"/>
      <c r="YC290" s="3"/>
      <c r="YD290" s="3"/>
      <c r="YE290" s="3"/>
      <c r="YF290" s="3"/>
      <c r="YG290" s="3"/>
      <c r="YH290" s="3"/>
      <c r="YI290" s="3"/>
      <c r="YJ290" s="3"/>
      <c r="YK290" s="3"/>
      <c r="YL290" s="3"/>
      <c r="YM290" s="3"/>
      <c r="YN290" s="3"/>
      <c r="YO290" s="3"/>
      <c r="YP290" s="3"/>
      <c r="YQ290" s="3"/>
      <c r="YR290" s="3"/>
      <c r="YS290" s="3"/>
      <c r="YT290" s="3"/>
      <c r="YU290" s="3"/>
      <c r="YV290" s="3"/>
      <c r="YW290" s="3"/>
      <c r="YX290" s="3"/>
      <c r="YY290" s="3"/>
      <c r="YZ290" s="3"/>
      <c r="ZA290" s="3"/>
      <c r="ZB290" s="3"/>
      <c r="ZC290" s="3"/>
      <c r="ZD290" s="3"/>
      <c r="ZE290" s="3"/>
      <c r="ZF290" s="3"/>
      <c r="ZG290" s="3"/>
      <c r="ZH290" s="3"/>
      <c r="ZI290" s="3"/>
      <c r="ZJ290" s="3"/>
      <c r="ZK290" s="3"/>
      <c r="ZL290" s="3"/>
      <c r="ZM290" s="3"/>
      <c r="ZN290" s="3"/>
      <c r="ZO290" s="3"/>
      <c r="ZP290" s="3"/>
      <c r="ZQ290" s="3"/>
      <c r="ZR290" s="3"/>
      <c r="ZS290" s="3"/>
      <c r="ZT290" s="3"/>
      <c r="ZU290" s="3"/>
      <c r="ZV290" s="3"/>
      <c r="ZW290" s="3"/>
      <c r="ZX290" s="3"/>
      <c r="ZY290" s="3"/>
      <c r="ZZ290" s="3"/>
      <c r="AAA290" s="3"/>
      <c r="AAB290" s="3"/>
      <c r="AAC290" s="3"/>
      <c r="AAD290" s="3"/>
      <c r="AAE290" s="3"/>
      <c r="AAF290" s="3"/>
      <c r="AAG290" s="3"/>
      <c r="AAH290" s="3"/>
      <c r="AAI290" s="3"/>
      <c r="AAJ290" s="3"/>
      <c r="AAK290" s="3"/>
      <c r="AAL290" s="3"/>
      <c r="AAM290" s="3"/>
      <c r="AAN290" s="3"/>
      <c r="AAO290" s="3"/>
      <c r="AAP290" s="3"/>
      <c r="AAQ290" s="3"/>
      <c r="AAR290" s="3"/>
      <c r="AAS290" s="3"/>
      <c r="AAT290" s="3"/>
      <c r="AAU290" s="3"/>
      <c r="AAV290" s="3"/>
      <c r="AAW290" s="3"/>
      <c r="AAX290" s="3"/>
      <c r="AAY290" s="3"/>
      <c r="AAZ290" s="3"/>
      <c r="ABA290" s="3"/>
      <c r="ABB290" s="3"/>
      <c r="ABC290" s="3"/>
      <c r="ABD290" s="3"/>
      <c r="ABE290" s="3"/>
      <c r="ABF290" s="3"/>
      <c r="ABG290" s="3"/>
      <c r="ABH290" s="3"/>
      <c r="ABI290" s="3"/>
      <c r="ABJ290" s="3"/>
      <c r="ABK290" s="3"/>
      <c r="ABL290" s="3"/>
      <c r="ABM290" s="3"/>
      <c r="ABN290" s="3"/>
      <c r="ABO290" s="3"/>
      <c r="ABP290" s="3"/>
      <c r="ABQ290" s="3"/>
      <c r="ABR290" s="3"/>
      <c r="ABS290" s="3"/>
      <c r="ABT290" s="3"/>
      <c r="ABU290" s="3"/>
      <c r="ABV290" s="3"/>
      <c r="ABW290" s="3"/>
      <c r="ABX290" s="3"/>
      <c r="ABY290" s="3"/>
      <c r="ABZ290" s="3"/>
      <c r="ACA290" s="3"/>
      <c r="ACB290" s="3"/>
      <c r="ACC290" s="3"/>
      <c r="ACD290" s="3"/>
      <c r="ACE290" s="3"/>
      <c r="ACF290" s="3"/>
      <c r="ACG290" s="3"/>
      <c r="ACH290" s="3"/>
      <c r="ACI290" s="3"/>
      <c r="ACJ290" s="3"/>
      <c r="ACK290" s="3"/>
      <c r="ACL290" s="3"/>
      <c r="ACM290" s="3"/>
      <c r="ACN290" s="3"/>
      <c r="ACO290" s="3"/>
      <c r="ACP290" s="3"/>
      <c r="ACQ290" s="3"/>
      <c r="ACR290" s="3"/>
      <c r="ACS290" s="3"/>
      <c r="ACT290" s="3"/>
      <c r="ACU290" s="3"/>
      <c r="ACV290" s="3"/>
      <c r="ACW290" s="3"/>
      <c r="ACX290" s="3"/>
      <c r="ACY290" s="3"/>
      <c r="ACZ290" s="3"/>
      <c r="ADA290" s="3"/>
      <c r="ADB290" s="3"/>
      <c r="ADC290" s="3"/>
      <c r="ADD290" s="3"/>
      <c r="ADE290" s="3"/>
      <c r="ADF290" s="3"/>
      <c r="ADG290" s="3"/>
      <c r="ADH290" s="3"/>
      <c r="ADI290" s="3"/>
      <c r="ADJ290" s="3"/>
      <c r="ADK290" s="3"/>
      <c r="ADL290" s="3"/>
      <c r="ADM290" s="3"/>
      <c r="ADN290" s="3"/>
      <c r="ADO290" s="3"/>
      <c r="ADP290" s="3"/>
      <c r="ADQ290" s="3"/>
      <c r="ADR290" s="3"/>
      <c r="ADS290" s="3"/>
      <c r="ADT290" s="3"/>
      <c r="ADU290" s="3"/>
      <c r="ADV290" s="3"/>
      <c r="ADW290" s="3"/>
      <c r="ADX290" s="3"/>
      <c r="ADY290" s="3"/>
      <c r="ADZ290" s="3"/>
      <c r="AEA290" s="3"/>
      <c r="AEB290" s="3"/>
      <c r="AEC290" s="3"/>
      <c r="AED290" s="3"/>
      <c r="AEE290" s="3"/>
      <c r="AEF290" s="3"/>
      <c r="AEG290" s="3"/>
      <c r="AEH290" s="3"/>
      <c r="AEI290" s="3"/>
      <c r="AEJ290" s="3"/>
      <c r="AEK290" s="3"/>
      <c r="AEL290" s="3"/>
      <c r="AEM290" s="3"/>
      <c r="AEN290" s="3"/>
      <c r="AEO290" s="3"/>
      <c r="AEP290" s="3"/>
      <c r="AEQ290" s="3"/>
      <c r="AER290" s="3"/>
      <c r="AES290" s="3"/>
      <c r="AET290" s="3"/>
      <c r="AEU290" s="3"/>
      <c r="AEV290" s="3"/>
      <c r="AEW290" s="3"/>
      <c r="AEX290" s="3"/>
      <c r="AEY290" s="3"/>
      <c r="AEZ290" s="3"/>
      <c r="AFA290" s="3"/>
      <c r="AFB290" s="3"/>
      <c r="AFC290" s="3"/>
      <c r="AFD290" s="3"/>
      <c r="AFE290" s="3"/>
      <c r="AFF290" s="3"/>
      <c r="AFG290" s="3"/>
      <c r="AFH290" s="3"/>
      <c r="AFI290" s="3"/>
      <c r="AFJ290" s="3"/>
      <c r="AFK290" s="3"/>
      <c r="AFL290" s="3"/>
      <c r="AFM290" s="3"/>
      <c r="AFN290" s="3"/>
      <c r="AFO290" s="3"/>
      <c r="AFP290" s="3"/>
      <c r="AFQ290" s="3"/>
      <c r="AFR290" s="3"/>
      <c r="AFS290" s="3"/>
      <c r="AFT290" s="3"/>
      <c r="AFU290" s="3"/>
      <c r="AFV290" s="3"/>
      <c r="AFW290" s="3"/>
      <c r="AFX290" s="3"/>
      <c r="AFY290" s="3"/>
      <c r="AFZ290" s="3"/>
      <c r="AGA290" s="3"/>
      <c r="AGB290" s="3"/>
      <c r="AGC290" s="3"/>
      <c r="AGD290" s="3"/>
      <c r="AGE290" s="3"/>
      <c r="AGF290" s="3"/>
      <c r="AGG290" s="3"/>
      <c r="AGH290" s="3"/>
      <c r="AGI290" s="3"/>
      <c r="AGJ290" s="3"/>
      <c r="AGK290" s="3"/>
      <c r="AGL290" s="3"/>
      <c r="AGM290" s="3"/>
      <c r="AGN290" s="3"/>
      <c r="AGO290" s="3"/>
      <c r="AGP290" s="3"/>
      <c r="AGQ290" s="3"/>
      <c r="AGR290" s="3"/>
      <c r="AGS290" s="3"/>
      <c r="AGT290" s="3"/>
      <c r="AGU290" s="3"/>
      <c r="AGV290" s="3"/>
      <c r="AGW290" s="3"/>
      <c r="AGX290" s="3"/>
      <c r="AGY290" s="3"/>
      <c r="AGZ290" s="3"/>
      <c r="AHA290" s="3"/>
      <c r="AHB290" s="3"/>
      <c r="AHC290" s="3"/>
      <c r="AHD290" s="3"/>
      <c r="AHE290" s="3"/>
      <c r="AHF290" s="3"/>
      <c r="AHG290" s="3"/>
      <c r="AHH290" s="3"/>
      <c r="AHI290" s="3"/>
      <c r="AHJ290" s="3"/>
      <c r="AHK290" s="3"/>
      <c r="AHL290" s="3"/>
      <c r="AHM290" s="3"/>
      <c r="AHN290" s="3"/>
      <c r="AHO290" s="3"/>
      <c r="AHP290" s="3"/>
      <c r="AHQ290" s="3"/>
      <c r="AHR290" s="3"/>
      <c r="AHS290" s="3"/>
      <c r="AHT290" s="3"/>
      <c r="AHU290" s="3"/>
      <c r="AHV290" s="3"/>
      <c r="AHW290" s="3"/>
      <c r="AHX290" s="3"/>
      <c r="AHY290" s="3"/>
      <c r="AHZ290" s="3"/>
      <c r="AIA290" s="3"/>
      <c r="AIB290" s="3"/>
      <c r="AIC290" s="3"/>
      <c r="AID290" s="3"/>
      <c r="AIE290" s="3"/>
      <c r="AIF290" s="3"/>
      <c r="AIG290" s="3"/>
      <c r="AIH290" s="3"/>
      <c r="AII290" s="3"/>
      <c r="AIJ290" s="3"/>
      <c r="AIK290" s="3"/>
      <c r="AIL290" s="3"/>
      <c r="AIM290" s="3"/>
      <c r="AIN290" s="3"/>
      <c r="AIO290" s="3"/>
      <c r="AIP290" s="3"/>
      <c r="AIQ290" s="3"/>
      <c r="AIR290" s="3"/>
      <c r="AIS290" s="3"/>
      <c r="AIT290" s="3"/>
      <c r="AIU290" s="3"/>
      <c r="AIV290" s="3"/>
      <c r="AIW290" s="3"/>
      <c r="AIX290" s="3"/>
      <c r="AIY290" s="3"/>
      <c r="AIZ290" s="3"/>
      <c r="AJA290" s="3"/>
      <c r="AJB290" s="3"/>
      <c r="AJC290" s="3"/>
      <c r="AJD290" s="3"/>
      <c r="AJE290" s="3"/>
      <c r="AJF290" s="3"/>
      <c r="AJG290" s="3"/>
      <c r="AJH290" s="3"/>
      <c r="AJI290" s="3"/>
      <c r="AJJ290" s="3"/>
      <c r="AJK290" s="3"/>
      <c r="AJL290" s="3"/>
      <c r="AJM290" s="3"/>
      <c r="AJN290" s="3"/>
      <c r="AJO290" s="3"/>
      <c r="AJP290" s="3"/>
      <c r="AJQ290" s="3"/>
      <c r="AJR290" s="3"/>
      <c r="AJS290" s="3"/>
      <c r="AJT290" s="3"/>
      <c r="AJU290" s="3"/>
      <c r="AJV290" s="3"/>
      <c r="AJW290" s="3"/>
      <c r="AJX290" s="3"/>
      <c r="AJY290" s="3"/>
      <c r="AJZ290" s="3"/>
      <c r="AKA290" s="3"/>
      <c r="AKB290" s="3"/>
      <c r="AKC290" s="3"/>
      <c r="AKD290" s="3"/>
      <c r="AKE290" s="3"/>
      <c r="AKF290" s="3"/>
      <c r="AKG290" s="3"/>
      <c r="AKH290" s="3"/>
      <c r="AKI290" s="3"/>
      <c r="AKJ290" s="3"/>
      <c r="AKK290" s="3"/>
      <c r="AKL290" s="3"/>
      <c r="AKM290" s="3"/>
      <c r="AKN290" s="3"/>
      <c r="AKO290" s="3"/>
      <c r="AKP290" s="3"/>
      <c r="AKQ290" s="3"/>
      <c r="AKR290" s="3"/>
      <c r="AKS290" s="3"/>
      <c r="AKT290" s="3"/>
      <c r="AKU290" s="3"/>
      <c r="AKV290" s="3"/>
      <c r="AKW290" s="3"/>
      <c r="AKX290" s="3"/>
      <c r="AKY290" s="3"/>
      <c r="AKZ290" s="3"/>
      <c r="ALA290" s="3"/>
      <c r="ALB290" s="3"/>
      <c r="ALC290" s="3"/>
      <c r="ALD290" s="3"/>
      <c r="ALE290" s="3"/>
      <c r="ALF290" s="3"/>
      <c r="ALG290" s="3"/>
      <c r="ALH290" s="3"/>
      <c r="ALI290" s="3"/>
      <c r="ALJ290" s="3"/>
      <c r="ALK290" s="3"/>
      <c r="ALL290" s="3"/>
      <c r="ALM290" s="3"/>
      <c r="ALN290" s="3"/>
      <c r="ALO290" s="3"/>
      <c r="ALP290" s="3"/>
      <c r="ALQ290" s="3"/>
      <c r="ALR290" s="3"/>
      <c r="ALS290" s="3"/>
      <c r="ALT290" s="3"/>
      <c r="ALU290" s="3"/>
      <c r="ALV290" s="3"/>
      <c r="ALW290" s="3"/>
      <c r="ALX290" s="3"/>
      <c r="ALY290" s="3"/>
      <c r="ALZ290" s="3"/>
      <c r="AMA290" s="3"/>
      <c r="AMB290" s="3"/>
      <c r="AMC290" s="3"/>
      <c r="AMD290" s="3"/>
      <c r="AME290" s="3"/>
      <c r="AMF290" s="3"/>
      <c r="AMG290" s="3"/>
      <c r="AMH290" s="3"/>
      <c r="AMI290" s="3"/>
      <c r="AMJ290" s="3"/>
      <c r="AMK290" s="3"/>
      <c r="AML290" s="3"/>
      <c r="AMM290" s="3"/>
      <c r="AMN290" s="3"/>
      <c r="AMO290" s="3"/>
      <c r="AMP290" s="3"/>
      <c r="AMQ290" s="3"/>
      <c r="AMR290" s="3"/>
      <c r="AMS290" s="3"/>
      <c r="AMT290" s="3"/>
      <c r="AMU290" s="3"/>
      <c r="AMV290" s="3"/>
      <c r="AMW290" s="3"/>
      <c r="AMX290" s="3"/>
      <c r="AMY290" s="3"/>
      <c r="AMZ290" s="3"/>
      <c r="ANA290" s="3"/>
      <c r="ANB290" s="3"/>
      <c r="ANC290" s="3"/>
      <c r="AND290" s="3"/>
      <c r="ANE290" s="3"/>
      <c r="ANF290" s="3"/>
      <c r="ANG290" s="3"/>
      <c r="ANH290" s="3"/>
      <c r="ANI290" s="3"/>
      <c r="ANJ290" s="3"/>
      <c r="ANK290" s="3"/>
      <c r="ANL290" s="3"/>
      <c r="ANM290" s="3"/>
      <c r="ANN290" s="3"/>
      <c r="ANO290" s="3"/>
      <c r="ANP290" s="3"/>
      <c r="ANQ290" s="3"/>
      <c r="ANR290" s="3"/>
      <c r="ANS290" s="3"/>
      <c r="ANT290" s="3"/>
      <c r="ANU290" s="3"/>
      <c r="ANV290" s="3"/>
      <c r="ANW290" s="3"/>
      <c r="ANX290" s="3"/>
      <c r="ANY290" s="3"/>
      <c r="ANZ290" s="3"/>
      <c r="AOA290" s="3"/>
      <c r="AOB290" s="3"/>
      <c r="AOC290" s="3"/>
      <c r="AOD290" s="3"/>
      <c r="AOE290" s="3"/>
      <c r="AOF290" s="3"/>
      <c r="AOG290" s="3"/>
      <c r="AOH290" s="3"/>
      <c r="AOI290" s="3"/>
      <c r="AOJ290" s="3"/>
      <c r="AOK290" s="3"/>
      <c r="AOL290" s="3"/>
      <c r="AOM290" s="3"/>
      <c r="AON290" s="3"/>
      <c r="AOO290" s="3"/>
      <c r="AOP290" s="3"/>
      <c r="AOQ290" s="3"/>
      <c r="AOR290" s="3"/>
      <c r="AOS290" s="3"/>
      <c r="AOT290" s="3"/>
      <c r="AOU290" s="3"/>
      <c r="AOV290" s="3"/>
      <c r="AOW290" s="3"/>
      <c r="AOX290" s="3"/>
      <c r="AOY290" s="3"/>
      <c r="AOZ290" s="3"/>
      <c r="APA290" s="3"/>
      <c r="APB290" s="3"/>
      <c r="APC290" s="3"/>
      <c r="APD290" s="3"/>
      <c r="APE290" s="3"/>
      <c r="APF290" s="3"/>
      <c r="APG290" s="3"/>
      <c r="APH290" s="3"/>
      <c r="API290" s="3"/>
      <c r="APJ290" s="3"/>
      <c r="APK290" s="3"/>
      <c r="APL290" s="3"/>
      <c r="APM290" s="3"/>
      <c r="APN290" s="3"/>
      <c r="APO290" s="3"/>
      <c r="APP290" s="3"/>
      <c r="APQ290" s="3"/>
      <c r="APR290" s="3"/>
      <c r="APS290" s="3"/>
      <c r="APT290" s="3"/>
      <c r="APU290" s="3"/>
      <c r="APV290" s="3"/>
      <c r="APW290" s="3"/>
      <c r="APX290" s="3"/>
      <c r="APY290" s="3"/>
      <c r="APZ290" s="3"/>
      <c r="AQA290" s="3"/>
      <c r="AQB290" s="3"/>
      <c r="AQC290" s="3"/>
      <c r="AQD290" s="3"/>
      <c r="AQE290" s="3"/>
      <c r="AQF290" s="3"/>
      <c r="AQG290" s="3"/>
      <c r="AQH290" s="3"/>
      <c r="AQI290" s="3"/>
      <c r="AQJ290" s="3"/>
      <c r="AQK290" s="3"/>
      <c r="AQL290" s="3"/>
      <c r="AQM290" s="3"/>
      <c r="AQN290" s="3"/>
      <c r="AQO290" s="3"/>
      <c r="AQP290" s="3"/>
      <c r="AQQ290" s="3"/>
      <c r="AQR290" s="3"/>
      <c r="AQS290" s="3"/>
      <c r="AQT290" s="3"/>
      <c r="AQU290" s="3"/>
      <c r="AQV290" s="3"/>
      <c r="AQW290" s="3"/>
      <c r="AQX290" s="3"/>
      <c r="AQY290" s="3"/>
      <c r="AQZ290" s="3"/>
      <c r="ARA290" s="3"/>
      <c r="ARB290" s="3"/>
      <c r="ARC290" s="3"/>
      <c r="ARD290" s="3"/>
      <c r="ARE290" s="3"/>
      <c r="ARF290" s="3"/>
      <c r="ARG290" s="3"/>
      <c r="ARH290" s="3"/>
      <c r="ARI290" s="3"/>
      <c r="ARJ290" s="3"/>
      <c r="ARK290" s="3"/>
      <c r="ARL290" s="3"/>
      <c r="ARM290" s="3"/>
      <c r="ARN290" s="3"/>
      <c r="ARO290" s="3"/>
      <c r="ARP290" s="3"/>
      <c r="ARQ290" s="3"/>
      <c r="ARR290" s="3"/>
      <c r="ARS290" s="3"/>
      <c r="ART290" s="3"/>
      <c r="ARU290" s="3"/>
      <c r="ARV290" s="3"/>
      <c r="ARW290" s="3"/>
      <c r="ARX290" s="3"/>
      <c r="ARY290" s="3"/>
      <c r="ARZ290" s="3"/>
      <c r="ASA290" s="3"/>
      <c r="ASB290" s="3"/>
      <c r="ASC290" s="3"/>
      <c r="ASD290" s="3"/>
      <c r="ASE290" s="3"/>
      <c r="ASF290" s="3"/>
      <c r="ASG290" s="3"/>
      <c r="ASH290" s="3"/>
      <c r="ASI290" s="3"/>
      <c r="ASJ290" s="3"/>
      <c r="ASK290" s="3"/>
      <c r="ASL290" s="3"/>
      <c r="ASM290" s="3"/>
      <c r="ASN290" s="3"/>
      <c r="ASO290" s="3"/>
      <c r="ASP290" s="3"/>
      <c r="ASQ290" s="3"/>
      <c r="ASR290" s="3"/>
      <c r="ASS290" s="3"/>
      <c r="AST290" s="3"/>
      <c r="ASU290" s="3"/>
      <c r="ASV290" s="3"/>
      <c r="ASW290" s="3"/>
      <c r="ASX290" s="3"/>
      <c r="ASY290" s="3"/>
      <c r="ASZ290" s="3"/>
      <c r="ATA290" s="3"/>
      <c r="ATB290" s="3"/>
      <c r="ATC290" s="3"/>
      <c r="ATD290" s="3"/>
      <c r="ATE290" s="3"/>
      <c r="ATF290" s="3"/>
      <c r="ATG290" s="3"/>
      <c r="ATH290" s="3"/>
      <c r="ATI290" s="3"/>
      <c r="ATJ290" s="3"/>
      <c r="ATK290" s="3"/>
      <c r="ATL290" s="3"/>
      <c r="ATM290" s="3"/>
      <c r="ATN290" s="3"/>
      <c r="ATO290" s="3"/>
      <c r="ATP290" s="3"/>
      <c r="ATQ290" s="3"/>
      <c r="ATR290" s="3"/>
      <c r="ATS290" s="3"/>
      <c r="ATT290" s="3"/>
      <c r="ATU290" s="3"/>
      <c r="ATV290" s="3"/>
      <c r="ATW290" s="3"/>
      <c r="ATX290" s="3"/>
      <c r="ATY290" s="3"/>
      <c r="ATZ290" s="3"/>
      <c r="AUA290" s="3"/>
      <c r="AUB290" s="3"/>
      <c r="AUC290" s="3"/>
      <c r="AUD290" s="3"/>
      <c r="AUE290" s="3"/>
      <c r="AUF290" s="3"/>
      <c r="AUG290" s="3"/>
      <c r="AUH290" s="3"/>
      <c r="AUI290" s="3"/>
      <c r="AUJ290" s="3"/>
      <c r="AUK290" s="3"/>
      <c r="AUL290" s="3"/>
      <c r="AUM290" s="3"/>
      <c r="AUN290" s="3"/>
      <c r="AUO290" s="3"/>
      <c r="AUP290" s="3"/>
      <c r="AUQ290" s="3"/>
      <c r="AUR290" s="3"/>
      <c r="AUS290" s="3"/>
      <c r="AUT290" s="3"/>
      <c r="AUU290" s="3"/>
      <c r="AUV290" s="3"/>
      <c r="AUW290" s="3"/>
      <c r="AUX290" s="3"/>
      <c r="AUY290" s="3"/>
      <c r="AUZ290" s="3"/>
      <c r="AVA290" s="3"/>
      <c r="AVB290" s="3"/>
      <c r="AVC290" s="3"/>
      <c r="AVD290" s="3"/>
      <c r="AVE290" s="3"/>
      <c r="AVF290" s="3"/>
      <c r="AVG290" s="3"/>
      <c r="AVH290" s="3"/>
      <c r="AVI290" s="3"/>
      <c r="AVJ290" s="3"/>
      <c r="AVK290" s="3"/>
      <c r="AVL290" s="3"/>
      <c r="AVM290" s="3"/>
      <c r="AVN290" s="3"/>
      <c r="AVO290" s="3"/>
      <c r="AVP290" s="3"/>
      <c r="AVQ290" s="3"/>
      <c r="AVR290" s="3"/>
      <c r="AVS290" s="3"/>
      <c r="AVT290" s="3"/>
      <c r="AVU290" s="3"/>
      <c r="AVV290" s="3"/>
      <c r="AVW290" s="3"/>
      <c r="AVX290" s="3"/>
      <c r="AVY290" s="3"/>
      <c r="AVZ290" s="3"/>
      <c r="AWA290" s="3"/>
      <c r="AWB290" s="3"/>
      <c r="AWC290" s="3"/>
      <c r="AWD290" s="3"/>
      <c r="AWE290" s="3"/>
      <c r="AWF290" s="3"/>
      <c r="AWG290" s="3"/>
      <c r="AWH290" s="3"/>
      <c r="AWI290" s="3"/>
      <c r="AWJ290" s="3"/>
      <c r="AWK290" s="3"/>
      <c r="AWL290" s="3"/>
      <c r="AWM290" s="3"/>
      <c r="AWN290" s="3"/>
      <c r="AWO290" s="3"/>
      <c r="AWP290" s="3"/>
      <c r="AWQ290" s="3"/>
      <c r="AWR290" s="3"/>
      <c r="AWS290" s="3"/>
      <c r="AWT290" s="3"/>
      <c r="AWU290" s="3"/>
      <c r="AWV290" s="3"/>
      <c r="AWW290" s="3"/>
      <c r="AWX290" s="3"/>
      <c r="AWY290" s="3"/>
      <c r="AWZ290" s="3"/>
      <c r="AXA290" s="3"/>
      <c r="AXB290" s="3"/>
      <c r="AXC290" s="3"/>
      <c r="AXD290" s="3"/>
      <c r="AXE290" s="3"/>
      <c r="AXF290" s="3"/>
      <c r="AXG290" s="3"/>
      <c r="AXH290" s="3"/>
      <c r="AXI290" s="3"/>
      <c r="AXJ290" s="3"/>
      <c r="AXK290" s="3"/>
      <c r="AXL290" s="3"/>
      <c r="AXM290" s="3"/>
      <c r="AXN290" s="3"/>
      <c r="AXO290" s="3"/>
      <c r="AXP290" s="3"/>
      <c r="AXQ290" s="3"/>
      <c r="AXR290" s="3"/>
      <c r="AXS290" s="3"/>
      <c r="AXT290" s="3"/>
      <c r="AXU290" s="3"/>
      <c r="AXV290" s="3"/>
      <c r="AXW290" s="3"/>
      <c r="AXX290" s="3"/>
      <c r="AXY290" s="3"/>
      <c r="AXZ290" s="3"/>
      <c r="AYA290" s="3"/>
      <c r="AYB290" s="3"/>
      <c r="AYC290" s="3"/>
      <c r="AYD290" s="3"/>
      <c r="AYE290" s="3"/>
      <c r="AYF290" s="3"/>
      <c r="AYG290" s="3"/>
      <c r="AYH290" s="3"/>
      <c r="AYI290" s="3"/>
      <c r="AYJ290" s="3"/>
      <c r="AYK290" s="3"/>
      <c r="AYL290" s="3"/>
      <c r="AYM290" s="3"/>
      <c r="AYN290" s="3"/>
      <c r="AYO290" s="3"/>
      <c r="AYP290" s="3"/>
      <c r="AYQ290" s="3"/>
      <c r="AYR290" s="3"/>
      <c r="AYS290" s="3"/>
      <c r="AYT290" s="3"/>
      <c r="AYU290" s="3"/>
      <c r="AYV290" s="3"/>
      <c r="AYW290" s="3"/>
      <c r="AYX290" s="3"/>
      <c r="AYY290" s="3"/>
      <c r="AYZ290" s="3"/>
      <c r="AZA290" s="3"/>
      <c r="AZB290" s="3"/>
      <c r="AZC290" s="3"/>
      <c r="AZD290" s="3"/>
      <c r="AZE290" s="3"/>
      <c r="AZF290" s="3"/>
      <c r="AZG290" s="3"/>
      <c r="AZH290" s="3"/>
      <c r="AZI290" s="3"/>
      <c r="AZJ290" s="3"/>
      <c r="AZK290" s="3"/>
      <c r="AZL290" s="3"/>
      <c r="AZM290" s="3"/>
      <c r="AZN290" s="3"/>
      <c r="AZO290" s="3"/>
      <c r="AZP290" s="3"/>
      <c r="AZQ290" s="3"/>
      <c r="AZR290" s="3"/>
      <c r="AZS290" s="3"/>
      <c r="AZT290" s="3"/>
      <c r="AZU290" s="3"/>
      <c r="AZV290" s="3"/>
      <c r="AZW290" s="3"/>
      <c r="AZX290" s="3"/>
      <c r="AZY290" s="3"/>
      <c r="AZZ290" s="3"/>
      <c r="BAA290" s="3"/>
      <c r="BAB290" s="3"/>
      <c r="BAC290" s="3"/>
      <c r="BAD290" s="3"/>
      <c r="BAE290" s="3"/>
      <c r="BAF290" s="3"/>
      <c r="BAG290" s="3"/>
      <c r="BAH290" s="3"/>
      <c r="BAI290" s="3"/>
      <c r="BAJ290" s="3"/>
      <c r="BAK290" s="3"/>
      <c r="BAL290" s="3"/>
      <c r="BAM290" s="3"/>
      <c r="BAN290" s="3"/>
      <c r="BAO290" s="3"/>
      <c r="BAP290" s="3"/>
      <c r="BAQ290" s="3"/>
      <c r="BAR290" s="3"/>
      <c r="BAS290" s="3"/>
      <c r="BAT290" s="3"/>
      <c r="BAU290" s="3"/>
      <c r="BAV290" s="3"/>
      <c r="BAW290" s="3"/>
      <c r="BAX290" s="3"/>
      <c r="BAY290" s="3"/>
      <c r="BAZ290" s="3"/>
      <c r="BBA290" s="3"/>
      <c r="BBB290" s="3"/>
      <c r="BBC290" s="3"/>
      <c r="BBD290" s="3"/>
      <c r="BBE290" s="3"/>
      <c r="BBF290" s="3"/>
      <c r="BBG290" s="3"/>
      <c r="BBH290" s="3"/>
      <c r="BBI290" s="3"/>
      <c r="BBJ290" s="3"/>
      <c r="BBK290" s="3"/>
      <c r="BBL290" s="3"/>
      <c r="BBM290" s="3"/>
      <c r="BBN290" s="3"/>
      <c r="BBO290" s="3"/>
      <c r="BBP290" s="3"/>
      <c r="BBQ290" s="3"/>
      <c r="BBR290" s="3"/>
      <c r="BBS290" s="3"/>
      <c r="BBT290" s="3"/>
      <c r="BBU290" s="3"/>
      <c r="BBV290" s="3"/>
      <c r="BBW290" s="3"/>
      <c r="BBX290" s="3"/>
      <c r="BBY290" s="3"/>
      <c r="BBZ290" s="3"/>
      <c r="BCA290" s="3"/>
      <c r="BCB290" s="3"/>
      <c r="BCC290" s="3"/>
      <c r="BCD290" s="3"/>
      <c r="BCE290" s="3"/>
      <c r="BCF290" s="3"/>
      <c r="BCG290" s="3"/>
      <c r="BCH290" s="3"/>
      <c r="BCI290" s="3"/>
      <c r="BCJ290" s="3"/>
      <c r="BCK290" s="3"/>
      <c r="BCL290" s="3"/>
      <c r="BCM290" s="3"/>
      <c r="BCN290" s="3"/>
      <c r="BCO290" s="3"/>
      <c r="BCP290" s="3"/>
      <c r="BCQ290" s="3"/>
      <c r="BCR290" s="3"/>
      <c r="BCS290" s="3"/>
      <c r="BCT290" s="3"/>
      <c r="BCU290" s="3"/>
      <c r="BCV290" s="3"/>
      <c r="BCW290" s="3"/>
      <c r="BCX290" s="3"/>
      <c r="BCY290" s="3"/>
      <c r="BCZ290" s="3"/>
      <c r="BDA290" s="3"/>
      <c r="BDB290" s="3"/>
      <c r="BDC290" s="3"/>
      <c r="BDD290" s="3"/>
      <c r="BDE290" s="3"/>
      <c r="BDF290" s="3"/>
      <c r="BDG290" s="3"/>
      <c r="BDH290" s="3"/>
      <c r="BDI290" s="3"/>
      <c r="BDJ290" s="3"/>
      <c r="BDK290" s="3"/>
      <c r="BDL290" s="3"/>
      <c r="BDM290" s="3"/>
      <c r="BDN290" s="3"/>
      <c r="BDO290" s="3"/>
      <c r="BDP290" s="3"/>
      <c r="BDQ290" s="3"/>
      <c r="BDR290" s="3"/>
      <c r="BDS290" s="3"/>
      <c r="BDT290" s="3"/>
      <c r="BDU290" s="3"/>
      <c r="BDV290" s="3"/>
      <c r="BDW290" s="3"/>
      <c r="BDX290" s="3"/>
      <c r="BDY290" s="3"/>
      <c r="BDZ290" s="3"/>
      <c r="BEA290" s="3"/>
      <c r="BEB290" s="3"/>
      <c r="BEC290" s="3"/>
      <c r="BED290" s="3"/>
      <c r="BEE290" s="3"/>
      <c r="BEF290" s="3"/>
      <c r="BEG290" s="3"/>
      <c r="BEH290" s="3"/>
      <c r="BEI290" s="3"/>
      <c r="BEJ290" s="3"/>
      <c r="BEK290" s="3"/>
      <c r="BEL290" s="3"/>
      <c r="BEM290" s="3"/>
      <c r="BEN290" s="3"/>
      <c r="BEO290" s="3"/>
      <c r="BEP290" s="3"/>
      <c r="BEQ290" s="3"/>
      <c r="BER290" s="3"/>
      <c r="BES290" s="3"/>
      <c r="BET290" s="3"/>
      <c r="BEU290" s="3"/>
      <c r="BEV290" s="3"/>
      <c r="BEW290" s="3"/>
      <c r="BEX290" s="3"/>
      <c r="BEY290" s="3"/>
      <c r="BEZ290" s="3"/>
      <c r="BFA290" s="3"/>
      <c r="BFB290" s="3"/>
      <c r="BFC290" s="3"/>
      <c r="BFD290" s="3"/>
      <c r="BFE290" s="3"/>
      <c r="BFF290" s="3"/>
      <c r="BFG290" s="3"/>
      <c r="BFH290" s="3"/>
      <c r="BFI290" s="3"/>
      <c r="BFJ290" s="3"/>
      <c r="BFK290" s="3"/>
      <c r="BFL290" s="3"/>
      <c r="BFM290" s="3"/>
      <c r="BFN290" s="3"/>
      <c r="BFO290" s="3"/>
      <c r="BFP290" s="3"/>
      <c r="BFQ290" s="3"/>
      <c r="BFR290" s="3"/>
      <c r="BFS290" s="3"/>
      <c r="BFT290" s="3"/>
      <c r="BFU290" s="3"/>
      <c r="BFV290" s="3"/>
      <c r="BFW290" s="3"/>
      <c r="BFX290" s="3"/>
      <c r="BFY290" s="3"/>
      <c r="BFZ290" s="3"/>
      <c r="BGA290" s="3"/>
      <c r="BGB290" s="3"/>
      <c r="BGC290" s="3"/>
      <c r="BGD290" s="3"/>
      <c r="BGE290" s="3"/>
      <c r="BGF290" s="3"/>
      <c r="BGG290" s="3"/>
      <c r="BGH290" s="3"/>
      <c r="BGI290" s="3"/>
      <c r="BGJ290" s="3"/>
      <c r="BGK290" s="3"/>
      <c r="BGL290" s="3"/>
      <c r="BGM290" s="3"/>
      <c r="BGN290" s="3"/>
      <c r="BGO290" s="3"/>
      <c r="BGP290" s="3"/>
      <c r="BGQ290" s="3"/>
      <c r="BGR290" s="3"/>
      <c r="BGS290" s="3"/>
      <c r="BGT290" s="3"/>
      <c r="BGU290" s="3"/>
      <c r="BGV290" s="3"/>
      <c r="BGW290" s="3"/>
      <c r="BGX290" s="3"/>
      <c r="BGY290" s="3"/>
      <c r="BGZ290" s="3"/>
      <c r="BHA290" s="3"/>
      <c r="BHB290" s="3"/>
      <c r="BHC290" s="3"/>
      <c r="BHD290" s="3"/>
      <c r="BHE290" s="3"/>
      <c r="BHF290" s="3"/>
      <c r="BHG290" s="3"/>
      <c r="BHH290" s="3"/>
      <c r="BHI290" s="3"/>
      <c r="BHJ290" s="3"/>
      <c r="BHK290" s="3"/>
      <c r="BHL290" s="3"/>
      <c r="BHM290" s="3"/>
      <c r="BHN290" s="3"/>
      <c r="BHO290" s="3"/>
      <c r="BHP290" s="3"/>
      <c r="BHQ290" s="3"/>
      <c r="BHR290" s="3"/>
      <c r="BHS290" s="3"/>
      <c r="BHT290" s="3"/>
      <c r="BHU290" s="3"/>
      <c r="BHV290" s="3"/>
      <c r="BHW290" s="3"/>
      <c r="BHX290" s="3"/>
      <c r="BHY290" s="3"/>
      <c r="BHZ290" s="3"/>
      <c r="BIA290" s="3"/>
      <c r="BIB290" s="3"/>
      <c r="BIC290" s="3"/>
      <c r="BID290" s="3"/>
      <c r="BIE290" s="3"/>
      <c r="BIF290" s="3"/>
      <c r="BIG290" s="3"/>
      <c r="BIH290" s="3"/>
      <c r="BII290" s="3"/>
      <c r="BIJ290" s="3"/>
      <c r="BIK290" s="3"/>
      <c r="BIL290" s="3"/>
      <c r="BIM290" s="3"/>
      <c r="BIN290" s="3"/>
      <c r="BIO290" s="3"/>
      <c r="BIP290" s="3"/>
      <c r="BIQ290" s="3"/>
      <c r="BIR290" s="3"/>
      <c r="BIS290" s="3"/>
      <c r="BIT290" s="3"/>
      <c r="BIU290" s="3"/>
      <c r="BIV290" s="3"/>
      <c r="BIW290" s="3"/>
      <c r="BIX290" s="3"/>
      <c r="BIY290" s="3"/>
      <c r="BIZ290" s="3"/>
      <c r="BJA290" s="3"/>
      <c r="BJB290" s="3"/>
      <c r="BJC290" s="3"/>
      <c r="BJD290" s="3"/>
      <c r="BJE290" s="3"/>
      <c r="BJF290" s="3"/>
      <c r="BJG290" s="3"/>
      <c r="BJH290" s="3"/>
      <c r="BJI290" s="3"/>
      <c r="BJJ290" s="3"/>
      <c r="BJK290" s="3"/>
      <c r="BJL290" s="3"/>
      <c r="BJM290" s="3"/>
      <c r="BJN290" s="3"/>
      <c r="BJO290" s="3"/>
      <c r="BJP290" s="3"/>
      <c r="BJQ290" s="3"/>
      <c r="BJR290" s="3"/>
      <c r="BJS290" s="3"/>
      <c r="BJT290" s="3"/>
      <c r="BJU290" s="3"/>
      <c r="BJV290" s="3"/>
      <c r="BJW290" s="3"/>
      <c r="BJX290" s="3"/>
      <c r="BJY290" s="3"/>
      <c r="BJZ290" s="3"/>
      <c r="BKA290" s="3"/>
      <c r="BKB290" s="3"/>
      <c r="BKC290" s="3"/>
      <c r="BKD290" s="3"/>
      <c r="BKE290" s="3"/>
      <c r="BKF290" s="3"/>
      <c r="BKG290" s="3"/>
      <c r="BKH290" s="3"/>
      <c r="BKI290" s="3"/>
      <c r="BKJ290" s="3"/>
      <c r="BKK290" s="3"/>
      <c r="BKL290" s="3"/>
      <c r="BKM290" s="3"/>
      <c r="BKN290" s="3"/>
      <c r="BKO290" s="3"/>
      <c r="BKP290" s="3"/>
      <c r="BKQ290" s="3"/>
      <c r="BKR290" s="3"/>
      <c r="BKS290" s="3"/>
      <c r="BKT290" s="3"/>
      <c r="BKU290" s="3"/>
      <c r="BKV290" s="3"/>
      <c r="BKW290" s="3"/>
      <c r="BKX290" s="3"/>
      <c r="BKY290" s="3"/>
      <c r="BKZ290" s="3"/>
      <c r="BLA290" s="3"/>
      <c r="BLB290" s="3"/>
      <c r="BLC290" s="3"/>
      <c r="BLD290" s="3"/>
      <c r="BLE290" s="3"/>
      <c r="BLF290" s="3"/>
      <c r="BLG290" s="3"/>
      <c r="BLH290" s="3"/>
      <c r="BLI290" s="3"/>
      <c r="BLJ290" s="3"/>
      <c r="BLK290" s="3"/>
      <c r="BLL290" s="3"/>
      <c r="BLM290" s="3"/>
      <c r="BLN290" s="3"/>
      <c r="BLO290" s="3"/>
      <c r="BLP290" s="3"/>
      <c r="BLQ290" s="3"/>
      <c r="BLR290" s="3"/>
      <c r="BLS290" s="3"/>
      <c r="BLT290" s="3"/>
      <c r="BLU290" s="3"/>
      <c r="BLV290" s="3"/>
      <c r="BLW290" s="3"/>
      <c r="BLX290" s="3"/>
      <c r="BLY290" s="3"/>
      <c r="BLZ290" s="3"/>
      <c r="BMA290" s="3"/>
      <c r="BMB290" s="3"/>
      <c r="BMC290" s="3"/>
      <c r="BMD290" s="3"/>
      <c r="BME290" s="3"/>
      <c r="BMF290" s="3"/>
      <c r="BMG290" s="3"/>
      <c r="BMH290" s="3"/>
      <c r="BMI290" s="3"/>
      <c r="BMJ290" s="3"/>
      <c r="BMK290" s="3"/>
      <c r="BML290" s="3"/>
      <c r="BMM290" s="3"/>
      <c r="BMN290" s="3"/>
      <c r="BMO290" s="3"/>
      <c r="BMP290" s="3"/>
      <c r="BMQ290" s="3"/>
      <c r="BMR290" s="3"/>
      <c r="BMS290" s="3"/>
      <c r="BMT290" s="3"/>
      <c r="BMU290" s="3"/>
      <c r="BMV290" s="3"/>
      <c r="BMW290" s="3"/>
      <c r="BMX290" s="3"/>
      <c r="BMY290" s="3"/>
      <c r="BMZ290" s="3"/>
      <c r="BNA290" s="3"/>
      <c r="BNB290" s="3"/>
      <c r="BNC290" s="3"/>
      <c r="BND290" s="3"/>
      <c r="BNE290" s="3"/>
      <c r="BNF290" s="3"/>
      <c r="BNG290" s="3"/>
      <c r="BNH290" s="3"/>
      <c r="BNI290" s="3"/>
      <c r="BNJ290" s="3"/>
      <c r="BNK290" s="3"/>
      <c r="BNL290" s="3"/>
      <c r="BNM290" s="3"/>
      <c r="BNN290" s="3"/>
      <c r="BNO290" s="3"/>
      <c r="BNP290" s="3"/>
      <c r="BNQ290" s="3"/>
      <c r="BNR290" s="3"/>
      <c r="BNS290" s="3"/>
      <c r="BNT290" s="3"/>
      <c r="BNU290" s="3"/>
      <c r="BNV290" s="3"/>
      <c r="BNW290" s="3"/>
      <c r="BNX290" s="3"/>
      <c r="BNY290" s="3"/>
      <c r="BNZ290" s="3"/>
      <c r="BOA290" s="3"/>
      <c r="BOB290" s="3"/>
      <c r="BOC290" s="3"/>
      <c r="BOD290" s="3"/>
      <c r="BOE290" s="3"/>
      <c r="BOF290" s="3"/>
      <c r="BOG290" s="3"/>
      <c r="BOH290" s="3"/>
      <c r="BOI290" s="3"/>
      <c r="BOJ290" s="3"/>
      <c r="BOK290" s="3"/>
      <c r="BOL290" s="3"/>
      <c r="BOM290" s="3"/>
      <c r="BON290" s="3"/>
      <c r="BOO290" s="3"/>
      <c r="BOP290" s="3"/>
      <c r="BOQ290" s="3"/>
      <c r="BOR290" s="3"/>
      <c r="BOS290" s="3"/>
      <c r="BOT290" s="3"/>
      <c r="BOU290" s="3"/>
      <c r="BOV290" s="3"/>
      <c r="BOW290" s="3"/>
      <c r="BOX290" s="3"/>
      <c r="BOY290" s="3"/>
      <c r="BOZ290" s="3"/>
      <c r="BPA290" s="3"/>
      <c r="BPB290" s="3"/>
      <c r="BPC290" s="3"/>
      <c r="BPD290" s="3"/>
      <c r="BPE290" s="3"/>
      <c r="BPF290" s="3"/>
      <c r="BPG290" s="3"/>
      <c r="BPH290" s="3"/>
      <c r="BPI290" s="3"/>
      <c r="BPJ290" s="3"/>
      <c r="BPK290" s="3"/>
      <c r="BPL290" s="3"/>
      <c r="BPM290" s="3"/>
      <c r="BPN290" s="3"/>
      <c r="BPO290" s="3"/>
      <c r="BPP290" s="3"/>
      <c r="BPQ290" s="3"/>
      <c r="BPR290" s="3"/>
      <c r="BPS290" s="3"/>
      <c r="BPT290" s="3"/>
      <c r="BPU290" s="3"/>
      <c r="BPV290" s="3"/>
      <c r="BPW290" s="3"/>
      <c r="BPX290" s="3"/>
      <c r="BPY290" s="3"/>
      <c r="BPZ290" s="3"/>
      <c r="BQA290" s="3"/>
      <c r="BQB290" s="3"/>
      <c r="BQC290" s="3"/>
      <c r="BQD290" s="3"/>
      <c r="BQE290" s="3"/>
      <c r="BQF290" s="3"/>
      <c r="BQG290" s="3"/>
      <c r="BQH290" s="3"/>
      <c r="BQI290" s="3"/>
      <c r="BQJ290" s="3"/>
      <c r="BQK290" s="3"/>
      <c r="BQL290" s="3"/>
      <c r="BQM290" s="3"/>
      <c r="BQN290" s="3"/>
      <c r="BQO290" s="3"/>
      <c r="BQP290" s="3"/>
      <c r="BQQ290" s="3"/>
      <c r="BQR290" s="3"/>
      <c r="BQS290" s="3"/>
      <c r="BQT290" s="3"/>
      <c r="BQU290" s="3"/>
      <c r="BQV290" s="3"/>
      <c r="BQW290" s="3"/>
      <c r="BQX290" s="3"/>
      <c r="BQY290" s="3"/>
      <c r="BQZ290" s="3"/>
      <c r="BRA290" s="3"/>
      <c r="BRB290" s="3"/>
      <c r="BRC290" s="3"/>
      <c r="BRD290" s="3"/>
      <c r="BRE290" s="3"/>
      <c r="BRF290" s="3"/>
      <c r="BRG290" s="3"/>
      <c r="BRH290" s="3"/>
      <c r="BRI290" s="3"/>
      <c r="BRJ290" s="3"/>
      <c r="BRK290" s="3"/>
      <c r="BRL290" s="3"/>
      <c r="BRM290" s="3"/>
      <c r="BRN290" s="3"/>
      <c r="BRO290" s="3"/>
      <c r="BRP290" s="3"/>
      <c r="BRQ290" s="3"/>
      <c r="BRR290" s="3"/>
      <c r="BRS290" s="3"/>
      <c r="BRT290" s="3"/>
      <c r="BRU290" s="3"/>
      <c r="BRV290" s="3"/>
      <c r="BRW290" s="3"/>
      <c r="BRX290" s="3"/>
      <c r="BRY290" s="3"/>
      <c r="BRZ290" s="3"/>
      <c r="BSA290" s="3"/>
      <c r="BSB290" s="3"/>
      <c r="BSC290" s="3"/>
      <c r="BSD290" s="3"/>
      <c r="BSE290" s="3"/>
      <c r="BSF290" s="3"/>
      <c r="BSG290" s="3"/>
      <c r="BSH290" s="3"/>
      <c r="BSI290" s="3"/>
      <c r="BSJ290" s="3"/>
      <c r="BSK290" s="3"/>
      <c r="BSL290" s="3"/>
      <c r="BSM290" s="3"/>
      <c r="BSN290" s="3"/>
      <c r="BSO290" s="3"/>
      <c r="BSP290" s="3"/>
      <c r="BSQ290" s="3"/>
      <c r="BSR290" s="3"/>
      <c r="BSS290" s="3"/>
      <c r="BST290" s="3"/>
      <c r="BSU290" s="3"/>
      <c r="BSV290" s="3"/>
      <c r="BSW290" s="3"/>
      <c r="BSX290" s="3"/>
      <c r="BSY290" s="3"/>
      <c r="BSZ290" s="3"/>
      <c r="BTA290" s="3"/>
      <c r="BTB290" s="3"/>
      <c r="BTC290" s="3"/>
      <c r="BTD290" s="3"/>
      <c r="BTE290" s="3"/>
      <c r="BTF290" s="3"/>
      <c r="BTG290" s="3"/>
      <c r="BTH290" s="3"/>
      <c r="BTI290" s="3"/>
      <c r="BTJ290" s="3"/>
      <c r="BTK290" s="3"/>
      <c r="BTL290" s="3"/>
      <c r="BTM290" s="3"/>
      <c r="BTN290" s="3"/>
      <c r="BTO290" s="3"/>
      <c r="BTP290" s="3"/>
      <c r="BTQ290" s="3"/>
      <c r="BTR290" s="3"/>
      <c r="BTS290" s="3"/>
      <c r="BTT290" s="3"/>
      <c r="BTU290" s="3"/>
      <c r="BTV290" s="3"/>
      <c r="BTW290" s="3"/>
      <c r="BTX290" s="3"/>
      <c r="BTY290" s="3"/>
      <c r="BTZ290" s="3"/>
      <c r="BUA290" s="3"/>
      <c r="BUB290" s="3"/>
      <c r="BUC290" s="3"/>
      <c r="BUD290" s="3"/>
      <c r="BUE290" s="3"/>
      <c r="BUF290" s="3"/>
      <c r="BUG290" s="3"/>
      <c r="BUH290" s="3"/>
      <c r="BUI290" s="3"/>
      <c r="BUJ290" s="3"/>
      <c r="BUK290" s="3"/>
      <c r="BUL290" s="3"/>
      <c r="BUM290" s="3"/>
      <c r="BUN290" s="3"/>
      <c r="BUO290" s="3"/>
      <c r="BUP290" s="3"/>
      <c r="BUQ290" s="3"/>
      <c r="BUR290" s="3"/>
      <c r="BUS290" s="3"/>
      <c r="BUT290" s="3"/>
      <c r="BUU290" s="3"/>
      <c r="BUV290" s="3"/>
      <c r="BUW290" s="3"/>
      <c r="BUX290" s="3"/>
      <c r="BUY290" s="3"/>
      <c r="BUZ290" s="3"/>
      <c r="BVA290" s="3"/>
      <c r="BVB290" s="3"/>
      <c r="BVC290" s="3"/>
      <c r="BVD290" s="3"/>
      <c r="BVE290" s="3"/>
      <c r="BVF290" s="3"/>
      <c r="BVG290" s="3"/>
      <c r="BVH290" s="3"/>
      <c r="BVI290" s="3"/>
      <c r="BVJ290" s="3"/>
      <c r="BVK290" s="3"/>
      <c r="BVL290" s="3"/>
      <c r="BVM290" s="3"/>
      <c r="BVN290" s="3"/>
      <c r="BVO290" s="3"/>
      <c r="BVP290" s="3"/>
      <c r="BVQ290" s="3"/>
      <c r="BVR290" s="3"/>
      <c r="BVS290" s="3"/>
      <c r="BVT290" s="3"/>
      <c r="BVU290" s="3"/>
      <c r="BVV290" s="3"/>
      <c r="BVW290" s="3"/>
      <c r="BVX290" s="3"/>
      <c r="BVY290" s="3"/>
      <c r="BVZ290" s="3"/>
      <c r="BWA290" s="3"/>
      <c r="BWB290" s="3"/>
      <c r="BWC290" s="3"/>
      <c r="BWD290" s="3"/>
      <c r="BWE290" s="3"/>
      <c r="BWF290" s="3"/>
      <c r="BWG290" s="3"/>
      <c r="BWH290" s="3"/>
      <c r="BWI290" s="3"/>
      <c r="BWJ290" s="3"/>
      <c r="BWK290" s="3"/>
      <c r="BWL290" s="3"/>
      <c r="BWM290" s="3"/>
      <c r="BWN290" s="3"/>
      <c r="BWO290" s="3"/>
      <c r="BWP290" s="3"/>
      <c r="BWQ290" s="3"/>
      <c r="BWR290" s="3"/>
      <c r="BWS290" s="3"/>
      <c r="BWT290" s="3"/>
      <c r="BWU290" s="3"/>
      <c r="BWV290" s="3"/>
      <c r="BWW290" s="3"/>
      <c r="BWX290" s="3"/>
      <c r="BWY290" s="3"/>
      <c r="BWZ290" s="3"/>
      <c r="BXA290" s="3"/>
      <c r="BXB290" s="3"/>
      <c r="BXC290" s="3"/>
      <c r="BXD290" s="3"/>
      <c r="BXE290" s="3"/>
      <c r="BXF290" s="3"/>
      <c r="BXG290" s="3"/>
      <c r="BXH290" s="3"/>
      <c r="BXI290" s="3"/>
      <c r="BXJ290" s="3"/>
      <c r="BXK290" s="3"/>
      <c r="BXL290" s="3"/>
      <c r="BXM290" s="3"/>
      <c r="BXN290" s="3"/>
      <c r="BXO290" s="3"/>
      <c r="BXP290" s="3"/>
      <c r="BXQ290" s="3"/>
      <c r="BXR290" s="3"/>
      <c r="BXS290" s="3"/>
      <c r="BXT290" s="3"/>
      <c r="BXU290" s="3"/>
      <c r="BXV290" s="3"/>
      <c r="BXW290" s="3"/>
      <c r="BXX290" s="3"/>
      <c r="BXY290" s="3"/>
      <c r="BXZ290" s="3"/>
      <c r="BYA290" s="3"/>
      <c r="BYB290" s="3"/>
      <c r="BYC290" s="3"/>
      <c r="BYD290" s="3"/>
      <c r="BYE290" s="3"/>
      <c r="BYF290" s="3"/>
      <c r="BYG290" s="3"/>
      <c r="BYH290" s="3"/>
      <c r="BYI290" s="3"/>
      <c r="BYJ290" s="3"/>
      <c r="BYK290" s="3"/>
      <c r="BYL290" s="3"/>
      <c r="BYM290" s="3"/>
      <c r="BYN290" s="3"/>
      <c r="BYO290" s="3"/>
      <c r="BYP290" s="3"/>
      <c r="BYQ290" s="3"/>
      <c r="BYR290" s="3"/>
      <c r="BYS290" s="3"/>
      <c r="BYT290" s="3"/>
      <c r="BYU290" s="3"/>
      <c r="BYV290" s="3"/>
      <c r="BYW290" s="3"/>
      <c r="BYX290" s="3"/>
      <c r="BYY290" s="3"/>
      <c r="BYZ290" s="3"/>
      <c r="BZA290" s="3"/>
      <c r="BZB290" s="3"/>
      <c r="BZC290" s="3"/>
      <c r="BZD290" s="3"/>
      <c r="BZE290" s="3"/>
      <c r="BZF290" s="3"/>
      <c r="BZG290" s="3"/>
      <c r="BZH290" s="3"/>
      <c r="BZI290" s="3"/>
      <c r="BZJ290" s="3"/>
      <c r="BZK290" s="3"/>
      <c r="BZL290" s="3"/>
      <c r="BZM290" s="3"/>
      <c r="BZN290" s="3"/>
      <c r="BZO290" s="3"/>
      <c r="BZP290" s="3"/>
      <c r="BZQ290" s="3"/>
      <c r="BZR290" s="3"/>
      <c r="BZS290" s="3"/>
      <c r="BZT290" s="3"/>
      <c r="BZU290" s="3"/>
      <c r="BZV290" s="3"/>
      <c r="BZW290" s="3"/>
      <c r="BZX290" s="3"/>
      <c r="BZY290" s="3"/>
      <c r="BZZ290" s="3"/>
      <c r="CAA290" s="3"/>
      <c r="CAB290" s="3"/>
      <c r="CAC290" s="3"/>
      <c r="CAD290" s="3"/>
      <c r="CAE290" s="3"/>
      <c r="CAF290" s="3"/>
      <c r="CAG290" s="3"/>
      <c r="CAH290" s="3"/>
      <c r="CAI290" s="3"/>
      <c r="CAJ290" s="3"/>
      <c r="CAK290" s="3"/>
      <c r="CAL290" s="3"/>
      <c r="CAM290" s="3"/>
      <c r="CAN290" s="3"/>
      <c r="CAO290" s="3"/>
      <c r="CAP290" s="3"/>
      <c r="CAQ290" s="3"/>
      <c r="CAR290" s="3"/>
      <c r="CAS290" s="3"/>
      <c r="CAT290" s="3"/>
      <c r="CAU290" s="3"/>
      <c r="CAV290" s="3"/>
      <c r="CAW290" s="3"/>
      <c r="CAX290" s="3"/>
      <c r="CAY290" s="3"/>
      <c r="CAZ290" s="3"/>
      <c r="CBA290" s="3"/>
      <c r="CBB290" s="3"/>
      <c r="CBC290" s="3"/>
      <c r="CBD290" s="3"/>
      <c r="CBE290" s="3"/>
      <c r="CBF290" s="3"/>
      <c r="CBG290" s="3"/>
      <c r="CBH290" s="3"/>
      <c r="CBI290" s="3"/>
      <c r="CBJ290" s="3"/>
      <c r="CBK290" s="3"/>
      <c r="CBL290" s="3"/>
      <c r="CBM290" s="3"/>
      <c r="CBN290" s="3"/>
      <c r="CBO290" s="3"/>
      <c r="CBP290" s="3"/>
      <c r="CBQ290" s="3"/>
      <c r="CBR290" s="3"/>
      <c r="CBS290" s="3"/>
      <c r="CBT290" s="3"/>
      <c r="CBU290" s="3"/>
      <c r="CBV290" s="3"/>
      <c r="CBW290" s="3"/>
      <c r="CBX290" s="3"/>
      <c r="CBY290" s="3"/>
      <c r="CBZ290" s="3"/>
      <c r="CCA290" s="3"/>
      <c r="CCB290" s="3"/>
      <c r="CCC290" s="3"/>
      <c r="CCD290" s="3"/>
      <c r="CCE290" s="3"/>
      <c r="CCF290" s="3"/>
      <c r="CCG290" s="3"/>
      <c r="CCH290" s="3"/>
      <c r="CCI290" s="3"/>
      <c r="CCJ290" s="3"/>
      <c r="CCK290" s="3"/>
      <c r="CCL290" s="3"/>
      <c r="CCM290" s="3"/>
      <c r="CCN290" s="3"/>
      <c r="CCO290" s="3"/>
      <c r="CCP290" s="3"/>
      <c r="CCQ290" s="3"/>
      <c r="CCR290" s="3"/>
      <c r="CCS290" s="3"/>
      <c r="CCT290" s="3"/>
      <c r="CCU290" s="3"/>
      <c r="CCV290" s="3"/>
      <c r="CCW290" s="3"/>
      <c r="CCX290" s="3"/>
      <c r="CCY290" s="3"/>
      <c r="CCZ290" s="3"/>
      <c r="CDA290" s="3"/>
      <c r="CDB290" s="3"/>
      <c r="CDC290" s="3"/>
      <c r="CDD290" s="3"/>
      <c r="CDE290" s="3"/>
      <c r="CDF290" s="3"/>
      <c r="CDG290" s="3"/>
      <c r="CDH290" s="3"/>
      <c r="CDI290" s="3"/>
      <c r="CDJ290" s="3"/>
      <c r="CDK290" s="3"/>
      <c r="CDL290" s="3"/>
      <c r="CDM290" s="3"/>
      <c r="CDN290" s="3"/>
      <c r="CDO290" s="3"/>
      <c r="CDP290" s="3"/>
      <c r="CDQ290" s="3"/>
      <c r="CDR290" s="3"/>
      <c r="CDS290" s="3"/>
      <c r="CDT290" s="3"/>
      <c r="CDU290" s="3"/>
      <c r="CDV290" s="3"/>
      <c r="CDW290" s="3"/>
      <c r="CDX290" s="3"/>
      <c r="CDY290" s="3"/>
      <c r="CDZ290" s="3"/>
      <c r="CEA290" s="3"/>
      <c r="CEB290" s="3"/>
      <c r="CEC290" s="3"/>
      <c r="CED290" s="3"/>
      <c r="CEE290" s="3"/>
      <c r="CEF290" s="3"/>
      <c r="CEG290" s="3"/>
      <c r="CEH290" s="3"/>
      <c r="CEI290" s="3"/>
      <c r="CEJ290" s="3"/>
      <c r="CEK290" s="3"/>
      <c r="CEL290" s="3"/>
      <c r="CEM290" s="3"/>
      <c r="CEN290" s="3"/>
      <c r="CEO290" s="3"/>
      <c r="CEP290" s="3"/>
      <c r="CEQ290" s="3"/>
      <c r="CER290" s="3"/>
      <c r="CES290" s="3"/>
      <c r="CET290" s="3"/>
      <c r="CEU290" s="3"/>
      <c r="CEV290" s="3"/>
      <c r="CEW290" s="3"/>
      <c r="CEX290" s="3"/>
      <c r="CEY290" s="3"/>
      <c r="CEZ290" s="3"/>
      <c r="CFA290" s="3"/>
      <c r="CFB290" s="3"/>
      <c r="CFC290" s="3"/>
      <c r="CFD290" s="3"/>
      <c r="CFE290" s="3"/>
      <c r="CFF290" s="3"/>
      <c r="CFG290" s="3"/>
      <c r="CFH290" s="3"/>
      <c r="CFI290" s="3"/>
      <c r="CFJ290" s="3"/>
      <c r="CFK290" s="3"/>
      <c r="CFL290" s="3"/>
      <c r="CFM290" s="3"/>
      <c r="CFN290" s="3"/>
      <c r="CFO290" s="3"/>
      <c r="CFP290" s="3"/>
      <c r="CFQ290" s="3"/>
      <c r="CFR290" s="3"/>
      <c r="CFS290" s="3"/>
      <c r="CFT290" s="3"/>
      <c r="CFU290" s="3"/>
      <c r="CFV290" s="3"/>
      <c r="CFW290" s="3"/>
      <c r="CFX290" s="3"/>
      <c r="CFY290" s="3"/>
      <c r="CFZ290" s="3"/>
      <c r="CGA290" s="3"/>
      <c r="CGB290" s="3"/>
      <c r="CGC290" s="3"/>
      <c r="CGD290" s="3"/>
      <c r="CGE290" s="3"/>
      <c r="CGF290" s="3"/>
      <c r="CGG290" s="3"/>
      <c r="CGH290" s="3"/>
      <c r="CGI290" s="3"/>
      <c r="CGJ290" s="3"/>
      <c r="CGK290" s="3"/>
      <c r="CGL290" s="3"/>
      <c r="CGM290" s="3"/>
      <c r="CGN290" s="3"/>
      <c r="CGO290" s="3"/>
      <c r="CGP290" s="3"/>
      <c r="CGQ290" s="3"/>
      <c r="CGR290" s="3"/>
      <c r="CGS290" s="3"/>
      <c r="CGT290" s="3"/>
      <c r="CGU290" s="3"/>
      <c r="CGV290" s="3"/>
      <c r="CGW290" s="3"/>
      <c r="CGX290" s="3"/>
      <c r="CGY290" s="3"/>
      <c r="CGZ290" s="3"/>
      <c r="CHA290" s="3"/>
      <c r="CHB290" s="3"/>
      <c r="CHC290" s="3"/>
      <c r="CHD290" s="3"/>
      <c r="CHE290" s="3"/>
      <c r="CHF290" s="3"/>
      <c r="CHG290" s="3"/>
      <c r="CHH290" s="3"/>
      <c r="CHI290" s="3"/>
      <c r="CHJ290" s="3"/>
      <c r="CHK290" s="3"/>
      <c r="CHL290" s="3"/>
      <c r="CHM290" s="3"/>
      <c r="CHN290" s="3"/>
      <c r="CHO290" s="3"/>
      <c r="CHP290" s="3"/>
      <c r="CHQ290" s="3"/>
      <c r="CHR290" s="3"/>
      <c r="CHS290" s="3"/>
      <c r="CHT290" s="3"/>
      <c r="CHU290" s="3"/>
      <c r="CHV290" s="3"/>
      <c r="CHW290" s="3"/>
      <c r="CHX290" s="3"/>
      <c r="CHY290" s="3"/>
      <c r="CHZ290" s="3"/>
      <c r="CIA290" s="3"/>
      <c r="CIB290" s="3"/>
      <c r="CIC290" s="3"/>
      <c r="CID290" s="3"/>
      <c r="CIE290" s="3"/>
      <c r="CIF290" s="3"/>
      <c r="CIG290" s="3"/>
      <c r="CIH290" s="3"/>
      <c r="CII290" s="3"/>
      <c r="CIJ290" s="3"/>
      <c r="CIK290" s="3"/>
      <c r="CIL290" s="3"/>
      <c r="CIM290" s="3"/>
      <c r="CIN290" s="3"/>
      <c r="CIO290" s="3"/>
      <c r="CIP290" s="3"/>
      <c r="CIQ290" s="3"/>
      <c r="CIR290" s="3"/>
      <c r="CIS290" s="3"/>
      <c r="CIT290" s="3"/>
      <c r="CIU290" s="3"/>
      <c r="CIV290" s="3"/>
      <c r="CIW290" s="3"/>
      <c r="CIX290" s="3"/>
      <c r="CIY290" s="3"/>
      <c r="CIZ290" s="3"/>
      <c r="CJA290" s="3"/>
      <c r="CJB290" s="3"/>
      <c r="CJC290" s="3"/>
      <c r="CJD290" s="3"/>
      <c r="CJE290" s="3"/>
      <c r="CJF290" s="3"/>
      <c r="CJG290" s="3"/>
      <c r="CJH290" s="3"/>
      <c r="CJI290" s="3"/>
      <c r="CJJ290" s="3"/>
      <c r="CJK290" s="3"/>
      <c r="CJL290" s="3"/>
      <c r="CJM290" s="3"/>
      <c r="CJN290" s="3"/>
      <c r="CJO290" s="3"/>
      <c r="CJP290" s="3"/>
      <c r="CJQ290" s="3"/>
      <c r="CJR290" s="3"/>
      <c r="CJS290" s="3"/>
      <c r="CJT290" s="3"/>
      <c r="CJU290" s="3"/>
      <c r="CJV290" s="3"/>
      <c r="CJW290" s="3"/>
      <c r="CJX290" s="3"/>
      <c r="CJY290" s="3"/>
      <c r="CJZ290" s="3"/>
      <c r="CKA290" s="3"/>
      <c r="CKB290" s="3"/>
      <c r="CKC290" s="3"/>
      <c r="CKD290" s="3"/>
      <c r="CKE290" s="3"/>
      <c r="CKF290" s="3"/>
      <c r="CKG290" s="3"/>
      <c r="CKH290" s="3"/>
      <c r="CKI290" s="3"/>
      <c r="CKJ290" s="3"/>
      <c r="CKK290" s="3"/>
      <c r="CKL290" s="3"/>
      <c r="CKM290" s="3"/>
      <c r="CKN290" s="3"/>
      <c r="CKO290" s="3"/>
      <c r="CKP290" s="3"/>
      <c r="CKQ290" s="3"/>
      <c r="CKR290" s="3"/>
      <c r="CKS290" s="3"/>
      <c r="CKT290" s="3"/>
      <c r="CKU290" s="3"/>
      <c r="CKV290" s="3"/>
      <c r="CKW290" s="3"/>
      <c r="CKX290" s="3"/>
      <c r="CKY290" s="3"/>
      <c r="CKZ290" s="3"/>
      <c r="CLA290" s="3"/>
      <c r="CLB290" s="3"/>
      <c r="CLC290" s="3"/>
      <c r="CLD290" s="3"/>
      <c r="CLE290" s="3"/>
      <c r="CLF290" s="3"/>
      <c r="CLG290" s="3"/>
      <c r="CLH290" s="3"/>
      <c r="CLI290" s="3"/>
      <c r="CLJ290" s="3"/>
      <c r="CLK290" s="3"/>
      <c r="CLL290" s="3"/>
      <c r="CLM290" s="3"/>
      <c r="CLN290" s="3"/>
      <c r="CLO290" s="3"/>
      <c r="CLP290" s="3"/>
      <c r="CLQ290" s="3"/>
      <c r="CLR290" s="3"/>
      <c r="CLS290" s="3"/>
      <c r="CLT290" s="3"/>
      <c r="CLU290" s="3"/>
      <c r="CLV290" s="3"/>
      <c r="CLW290" s="3"/>
      <c r="CLX290" s="3"/>
      <c r="CLY290" s="3"/>
      <c r="CLZ290" s="3"/>
      <c r="CMA290" s="3"/>
      <c r="CMB290" s="3"/>
      <c r="CMC290" s="3"/>
      <c r="CMD290" s="3"/>
      <c r="CME290" s="3"/>
      <c r="CMF290" s="3"/>
      <c r="CMG290" s="3"/>
      <c r="CMH290" s="3"/>
      <c r="CMI290" s="3"/>
      <c r="CMJ290" s="3"/>
      <c r="CMK290" s="3"/>
      <c r="CML290" s="3"/>
      <c r="CMM290" s="3"/>
      <c r="CMN290" s="3"/>
      <c r="CMO290" s="3"/>
      <c r="CMP290" s="3"/>
      <c r="CMQ290" s="3"/>
      <c r="CMR290" s="3"/>
      <c r="CMS290" s="3"/>
      <c r="CMT290" s="3"/>
      <c r="CMU290" s="3"/>
      <c r="CMV290" s="3"/>
      <c r="CMW290" s="3"/>
      <c r="CMX290" s="3"/>
      <c r="CMY290" s="3"/>
      <c r="CMZ290" s="3"/>
      <c r="CNA290" s="3"/>
      <c r="CNB290" s="3"/>
      <c r="CNC290" s="3"/>
      <c r="CND290" s="3"/>
      <c r="CNE290" s="3"/>
      <c r="CNF290" s="3"/>
      <c r="CNG290" s="3"/>
      <c r="CNH290" s="3"/>
      <c r="CNI290" s="3"/>
      <c r="CNJ290" s="3"/>
      <c r="CNK290" s="3"/>
      <c r="CNL290" s="3"/>
      <c r="CNM290" s="3"/>
      <c r="CNN290" s="3"/>
      <c r="CNO290" s="3"/>
      <c r="CNP290" s="3"/>
      <c r="CNQ290" s="3"/>
      <c r="CNR290" s="3"/>
      <c r="CNS290" s="3"/>
      <c r="CNT290" s="3"/>
      <c r="CNU290" s="3"/>
      <c r="CNV290" s="3"/>
      <c r="CNW290" s="3"/>
      <c r="CNX290" s="3"/>
      <c r="CNY290" s="3"/>
      <c r="CNZ290" s="3"/>
      <c r="COA290" s="3"/>
      <c r="COB290" s="3"/>
      <c r="COC290" s="3"/>
      <c r="COD290" s="3"/>
      <c r="COE290" s="3"/>
      <c r="COF290" s="3"/>
      <c r="COG290" s="3"/>
      <c r="COH290" s="3"/>
      <c r="COI290" s="3"/>
      <c r="COJ290" s="3"/>
      <c r="COK290" s="3"/>
      <c r="COL290" s="3"/>
      <c r="COM290" s="3"/>
      <c r="CON290" s="3"/>
      <c r="COO290" s="3"/>
      <c r="COP290" s="3"/>
      <c r="COQ290" s="3"/>
      <c r="COR290" s="3"/>
      <c r="COS290" s="3"/>
      <c r="COT290" s="3"/>
      <c r="COU290" s="3"/>
      <c r="COV290" s="3"/>
      <c r="COW290" s="3"/>
      <c r="COX290" s="3"/>
      <c r="COY290" s="3"/>
      <c r="COZ290" s="3"/>
      <c r="CPA290" s="3"/>
      <c r="CPB290" s="3"/>
      <c r="CPC290" s="3"/>
      <c r="CPD290" s="3"/>
      <c r="CPE290" s="3"/>
      <c r="CPF290" s="3"/>
      <c r="CPG290" s="3"/>
      <c r="CPH290" s="3"/>
      <c r="CPI290" s="3"/>
      <c r="CPJ290" s="3"/>
      <c r="CPK290" s="3"/>
      <c r="CPL290" s="3"/>
      <c r="CPM290" s="3"/>
      <c r="CPN290" s="3"/>
      <c r="CPO290" s="3"/>
      <c r="CPP290" s="3"/>
      <c r="CPQ290" s="3"/>
      <c r="CPR290" s="3"/>
      <c r="CPS290" s="3"/>
      <c r="CPT290" s="3"/>
      <c r="CPU290" s="3"/>
      <c r="CPV290" s="3"/>
      <c r="CPW290" s="3"/>
      <c r="CPX290" s="3"/>
      <c r="CPY290" s="3"/>
      <c r="CPZ290" s="3"/>
      <c r="CQA290" s="3"/>
      <c r="CQB290" s="3"/>
      <c r="CQC290" s="3"/>
      <c r="CQD290" s="3"/>
      <c r="CQE290" s="3"/>
      <c r="CQF290" s="3"/>
      <c r="CQG290" s="3"/>
      <c r="CQH290" s="3"/>
      <c r="CQI290" s="3"/>
      <c r="CQJ290" s="3"/>
      <c r="CQK290" s="3"/>
      <c r="CQL290" s="3"/>
      <c r="CQM290" s="3"/>
      <c r="CQN290" s="3"/>
      <c r="CQO290" s="3"/>
      <c r="CQP290" s="3"/>
      <c r="CQQ290" s="3"/>
      <c r="CQR290" s="3"/>
      <c r="CQS290" s="3"/>
      <c r="CQT290" s="3"/>
      <c r="CQU290" s="3"/>
      <c r="CQV290" s="3"/>
      <c r="CQW290" s="3"/>
      <c r="CQX290" s="3"/>
      <c r="CQY290" s="3"/>
      <c r="CQZ290" s="3"/>
      <c r="CRA290" s="3"/>
      <c r="CRB290" s="3"/>
      <c r="CRC290" s="3"/>
      <c r="CRD290" s="3"/>
      <c r="CRE290" s="3"/>
      <c r="CRF290" s="3"/>
      <c r="CRG290" s="3"/>
      <c r="CRH290" s="3"/>
      <c r="CRI290" s="3"/>
      <c r="CRJ290" s="3"/>
      <c r="CRK290" s="3"/>
      <c r="CRL290" s="3"/>
      <c r="CRM290" s="3"/>
      <c r="CRN290" s="3"/>
      <c r="CRO290" s="3"/>
      <c r="CRP290" s="3"/>
      <c r="CRQ290" s="3"/>
      <c r="CRR290" s="3"/>
      <c r="CRS290" s="3"/>
      <c r="CRT290" s="3"/>
      <c r="CRU290" s="3"/>
      <c r="CRV290" s="3"/>
      <c r="CRW290" s="3"/>
      <c r="CRX290" s="3"/>
      <c r="CRY290" s="3"/>
      <c r="CRZ290" s="3"/>
      <c r="CSA290" s="3"/>
      <c r="CSB290" s="3"/>
      <c r="CSC290" s="3"/>
      <c r="CSD290" s="3"/>
      <c r="CSE290" s="3"/>
      <c r="CSF290" s="3"/>
      <c r="CSG290" s="3"/>
      <c r="CSH290" s="3"/>
      <c r="CSI290" s="3"/>
      <c r="CSJ290" s="3"/>
      <c r="CSK290" s="3"/>
      <c r="CSL290" s="3"/>
      <c r="CSM290" s="3"/>
      <c r="CSN290" s="3"/>
      <c r="CSO290" s="3"/>
      <c r="CSP290" s="3"/>
      <c r="CSQ290" s="3"/>
      <c r="CSR290" s="3"/>
      <c r="CSS290" s="3"/>
      <c r="CST290" s="3"/>
      <c r="CSU290" s="3"/>
      <c r="CSV290" s="3"/>
      <c r="CSW290" s="3"/>
      <c r="CSX290" s="3"/>
      <c r="CSY290" s="3"/>
      <c r="CSZ290" s="3"/>
      <c r="CTA290" s="3"/>
      <c r="CTB290" s="3"/>
      <c r="CTC290" s="3"/>
      <c r="CTD290" s="3"/>
      <c r="CTE290" s="3"/>
      <c r="CTF290" s="3"/>
      <c r="CTG290" s="3"/>
      <c r="CTH290" s="3"/>
      <c r="CTI290" s="3"/>
      <c r="CTJ290" s="3"/>
      <c r="CTK290" s="3"/>
      <c r="CTL290" s="3"/>
      <c r="CTM290" s="3"/>
      <c r="CTN290" s="3"/>
      <c r="CTO290" s="3"/>
      <c r="CTP290" s="3"/>
      <c r="CTQ290" s="3"/>
      <c r="CTR290" s="3"/>
      <c r="CTS290" s="3"/>
      <c r="CTT290" s="3"/>
      <c r="CTU290" s="3"/>
      <c r="CTV290" s="3"/>
      <c r="CTW290" s="3"/>
      <c r="CTX290" s="3"/>
      <c r="CTY290" s="3"/>
      <c r="CTZ290" s="3"/>
      <c r="CUA290" s="3"/>
      <c r="CUB290" s="3"/>
      <c r="CUC290" s="3"/>
      <c r="CUD290" s="3"/>
      <c r="CUE290" s="3"/>
      <c r="CUF290" s="3"/>
      <c r="CUG290" s="3"/>
      <c r="CUH290" s="3"/>
      <c r="CUI290" s="3"/>
      <c r="CUJ290" s="3"/>
      <c r="CUK290" s="3"/>
      <c r="CUL290" s="3"/>
      <c r="CUM290" s="3"/>
      <c r="CUN290" s="3"/>
      <c r="CUO290" s="3"/>
      <c r="CUP290" s="3"/>
      <c r="CUQ290" s="3"/>
      <c r="CUR290" s="3"/>
      <c r="CUS290" s="3"/>
      <c r="CUT290" s="3"/>
      <c r="CUU290" s="3"/>
      <c r="CUV290" s="3"/>
      <c r="CUW290" s="3"/>
      <c r="CUX290" s="3"/>
      <c r="CUY290" s="3"/>
      <c r="CUZ290" s="3"/>
      <c r="CVA290" s="3"/>
      <c r="CVB290" s="3"/>
      <c r="CVC290" s="3"/>
      <c r="CVD290" s="3"/>
      <c r="CVE290" s="3"/>
      <c r="CVF290" s="3"/>
      <c r="CVG290" s="3"/>
      <c r="CVH290" s="3"/>
      <c r="CVI290" s="3"/>
      <c r="CVJ290" s="3"/>
      <c r="CVK290" s="3"/>
      <c r="CVL290" s="3"/>
      <c r="CVM290" s="3"/>
      <c r="CVN290" s="3"/>
      <c r="CVO290" s="3"/>
      <c r="CVP290" s="3"/>
      <c r="CVQ290" s="3"/>
      <c r="CVR290" s="3"/>
      <c r="CVS290" s="3"/>
      <c r="CVT290" s="3"/>
      <c r="CVU290" s="3"/>
      <c r="CVV290" s="3"/>
      <c r="CVW290" s="3"/>
      <c r="CVX290" s="3"/>
      <c r="CVY290" s="3"/>
      <c r="CVZ290" s="3"/>
      <c r="CWA290" s="3"/>
      <c r="CWB290" s="3"/>
      <c r="CWC290" s="3"/>
      <c r="CWD290" s="3"/>
      <c r="CWE290" s="3"/>
      <c r="CWF290" s="3"/>
      <c r="CWG290" s="3"/>
      <c r="CWH290" s="3"/>
      <c r="CWI290" s="3"/>
      <c r="CWJ290" s="3"/>
      <c r="CWK290" s="3"/>
      <c r="CWL290" s="3"/>
      <c r="CWM290" s="3"/>
      <c r="CWN290" s="3"/>
      <c r="CWO290" s="3"/>
      <c r="CWP290" s="3"/>
      <c r="CWQ290" s="3"/>
      <c r="CWR290" s="3"/>
      <c r="CWS290" s="3"/>
      <c r="CWT290" s="3"/>
      <c r="CWU290" s="3"/>
      <c r="CWV290" s="3"/>
      <c r="CWW290" s="3"/>
      <c r="CWX290" s="3"/>
      <c r="CWY290" s="3"/>
      <c r="CWZ290" s="3"/>
      <c r="CXA290" s="3"/>
      <c r="CXB290" s="3"/>
      <c r="CXC290" s="3"/>
      <c r="CXD290" s="3"/>
      <c r="CXE290" s="3"/>
      <c r="CXF290" s="3"/>
      <c r="CXG290" s="3"/>
      <c r="CXH290" s="3"/>
      <c r="CXI290" s="3"/>
      <c r="CXJ290" s="3"/>
      <c r="CXK290" s="3"/>
      <c r="CXL290" s="3"/>
      <c r="CXM290" s="3"/>
      <c r="CXN290" s="3"/>
      <c r="CXO290" s="3"/>
      <c r="CXP290" s="3"/>
      <c r="CXQ290" s="3"/>
      <c r="CXR290" s="3"/>
      <c r="CXS290" s="3"/>
      <c r="CXT290" s="3"/>
      <c r="CXU290" s="3"/>
      <c r="CXV290" s="3"/>
      <c r="CXW290" s="3"/>
      <c r="CXX290" s="3"/>
      <c r="CXY290" s="3"/>
      <c r="CXZ290" s="3"/>
      <c r="CYA290" s="3"/>
      <c r="CYB290" s="3"/>
      <c r="CYC290" s="3"/>
      <c r="CYD290" s="3"/>
      <c r="CYE290" s="3"/>
      <c r="CYF290" s="3"/>
      <c r="CYG290" s="3"/>
      <c r="CYH290" s="3"/>
      <c r="CYI290" s="3"/>
      <c r="CYJ290" s="3"/>
      <c r="CYK290" s="3"/>
      <c r="CYL290" s="3"/>
      <c r="CYM290" s="3"/>
      <c r="CYN290" s="3"/>
      <c r="CYO290" s="3"/>
      <c r="CYP290" s="3"/>
      <c r="CYQ290" s="3"/>
      <c r="CYR290" s="3"/>
      <c r="CYS290" s="3"/>
      <c r="CYT290" s="3"/>
      <c r="CYU290" s="3"/>
      <c r="CYV290" s="3"/>
      <c r="CYW290" s="3"/>
      <c r="CYX290" s="3"/>
      <c r="CYY290" s="3"/>
      <c r="CYZ290" s="3"/>
      <c r="CZA290" s="3"/>
      <c r="CZB290" s="3"/>
      <c r="CZC290" s="3"/>
      <c r="CZD290" s="3"/>
      <c r="CZE290" s="3"/>
      <c r="CZF290" s="3"/>
      <c r="CZG290" s="3"/>
      <c r="CZH290" s="3"/>
      <c r="CZI290" s="3"/>
      <c r="CZJ290" s="3"/>
      <c r="CZK290" s="3"/>
      <c r="CZL290" s="3"/>
      <c r="CZM290" s="3"/>
      <c r="CZN290" s="3"/>
      <c r="CZO290" s="3"/>
      <c r="CZP290" s="3"/>
      <c r="CZQ290" s="3"/>
      <c r="CZR290" s="3"/>
      <c r="CZS290" s="3"/>
      <c r="CZT290" s="3"/>
      <c r="CZU290" s="3"/>
      <c r="CZV290" s="3"/>
      <c r="CZW290" s="3"/>
      <c r="CZX290" s="3"/>
      <c r="CZY290" s="3"/>
      <c r="CZZ290" s="3"/>
      <c r="DAA290" s="3"/>
      <c r="DAB290" s="3"/>
      <c r="DAC290" s="3"/>
      <c r="DAD290" s="3"/>
      <c r="DAE290" s="3"/>
      <c r="DAF290" s="3"/>
      <c r="DAG290" s="3"/>
      <c r="DAH290" s="3"/>
      <c r="DAI290" s="3"/>
      <c r="DAJ290" s="3"/>
      <c r="DAK290" s="3"/>
      <c r="DAL290" s="3"/>
      <c r="DAM290" s="3"/>
      <c r="DAN290" s="3"/>
      <c r="DAO290" s="3"/>
      <c r="DAP290" s="3"/>
      <c r="DAQ290" s="3"/>
      <c r="DAR290" s="3"/>
      <c r="DAS290" s="3"/>
      <c r="DAT290" s="3"/>
      <c r="DAU290" s="3"/>
      <c r="DAV290" s="3"/>
      <c r="DAW290" s="3"/>
      <c r="DAX290" s="3"/>
      <c r="DAY290" s="3"/>
      <c r="DAZ290" s="3"/>
      <c r="DBA290" s="3"/>
      <c r="DBB290" s="3"/>
      <c r="DBC290" s="3"/>
      <c r="DBD290" s="3"/>
      <c r="DBE290" s="3"/>
      <c r="DBF290" s="3"/>
      <c r="DBG290" s="3"/>
      <c r="DBH290" s="3"/>
      <c r="DBI290" s="3"/>
      <c r="DBJ290" s="3"/>
      <c r="DBK290" s="3"/>
      <c r="DBL290" s="3"/>
      <c r="DBM290" s="3"/>
      <c r="DBN290" s="3"/>
      <c r="DBO290" s="3"/>
      <c r="DBP290" s="3"/>
      <c r="DBQ290" s="3"/>
      <c r="DBR290" s="3"/>
      <c r="DBS290" s="3"/>
      <c r="DBT290" s="3"/>
      <c r="DBU290" s="3"/>
      <c r="DBV290" s="3"/>
      <c r="DBW290" s="3"/>
      <c r="DBX290" s="3"/>
      <c r="DBY290" s="3"/>
      <c r="DBZ290" s="3"/>
      <c r="DCA290" s="3"/>
      <c r="DCB290" s="3"/>
      <c r="DCC290" s="3"/>
      <c r="DCD290" s="3"/>
      <c r="DCE290" s="3"/>
      <c r="DCF290" s="3"/>
      <c r="DCG290" s="3"/>
      <c r="DCH290" s="3"/>
      <c r="DCI290" s="3"/>
      <c r="DCJ290" s="3"/>
      <c r="DCK290" s="3"/>
      <c r="DCL290" s="3"/>
      <c r="DCM290" s="3"/>
      <c r="DCN290" s="3"/>
      <c r="DCO290" s="3"/>
      <c r="DCP290" s="3"/>
      <c r="DCQ290" s="3"/>
      <c r="DCR290" s="3"/>
      <c r="DCS290" s="3"/>
      <c r="DCT290" s="3"/>
      <c r="DCU290" s="3"/>
      <c r="DCV290" s="3"/>
      <c r="DCW290" s="3"/>
      <c r="DCX290" s="3"/>
      <c r="DCY290" s="3"/>
      <c r="DCZ290" s="3"/>
      <c r="DDA290" s="3"/>
      <c r="DDB290" s="3"/>
      <c r="DDC290" s="3"/>
      <c r="DDD290" s="3"/>
      <c r="DDE290" s="3"/>
      <c r="DDF290" s="3"/>
      <c r="DDG290" s="3"/>
      <c r="DDH290" s="3"/>
      <c r="DDI290" s="3"/>
      <c r="DDJ290" s="3"/>
      <c r="DDK290" s="3"/>
      <c r="DDL290" s="3"/>
      <c r="DDM290" s="3"/>
      <c r="DDN290" s="3"/>
      <c r="DDO290" s="3"/>
      <c r="DDP290" s="3"/>
      <c r="DDQ290" s="3"/>
      <c r="DDR290" s="3"/>
      <c r="DDS290" s="3"/>
      <c r="DDT290" s="3"/>
      <c r="DDU290" s="3"/>
      <c r="DDV290" s="3"/>
      <c r="DDW290" s="3"/>
      <c r="DDX290" s="3"/>
      <c r="DDY290" s="3"/>
      <c r="DDZ290" s="3"/>
      <c r="DEA290" s="3"/>
      <c r="DEB290" s="3"/>
      <c r="DEC290" s="3"/>
      <c r="DED290" s="3"/>
      <c r="DEE290" s="3"/>
      <c r="DEF290" s="3"/>
      <c r="DEG290" s="3"/>
      <c r="DEH290" s="3"/>
      <c r="DEI290" s="3"/>
      <c r="DEJ290" s="3"/>
      <c r="DEK290" s="3"/>
      <c r="DEL290" s="3"/>
      <c r="DEM290" s="3"/>
      <c r="DEN290" s="3"/>
      <c r="DEO290" s="3"/>
      <c r="DEP290" s="3"/>
      <c r="DEQ290" s="3"/>
      <c r="DER290" s="3"/>
      <c r="DES290" s="3"/>
      <c r="DET290" s="3"/>
      <c r="DEU290" s="3"/>
      <c r="DEV290" s="3"/>
      <c r="DEW290" s="3"/>
      <c r="DEX290" s="3"/>
      <c r="DEY290" s="3"/>
      <c r="DEZ290" s="3"/>
      <c r="DFA290" s="3"/>
      <c r="DFB290" s="3"/>
      <c r="DFC290" s="3"/>
      <c r="DFD290" s="3"/>
      <c r="DFE290" s="3"/>
      <c r="DFF290" s="3"/>
      <c r="DFG290" s="3"/>
      <c r="DFH290" s="3"/>
      <c r="DFI290" s="3"/>
      <c r="DFJ290" s="3"/>
      <c r="DFK290" s="3"/>
      <c r="DFL290" s="3"/>
      <c r="DFM290" s="3"/>
      <c r="DFN290" s="3"/>
      <c r="DFO290" s="3"/>
      <c r="DFP290" s="3"/>
      <c r="DFQ290" s="3"/>
      <c r="DFR290" s="3"/>
      <c r="DFS290" s="3"/>
      <c r="DFT290" s="3"/>
      <c r="DFU290" s="3"/>
      <c r="DFV290" s="3"/>
      <c r="DFW290" s="3"/>
      <c r="DFX290" s="3"/>
      <c r="DFY290" s="3"/>
      <c r="DFZ290" s="3"/>
      <c r="DGA290" s="3"/>
      <c r="DGB290" s="3"/>
      <c r="DGC290" s="3"/>
      <c r="DGD290" s="3"/>
      <c r="DGE290" s="3"/>
      <c r="DGF290" s="3"/>
      <c r="DGG290" s="3"/>
      <c r="DGH290" s="3"/>
      <c r="DGI290" s="3"/>
      <c r="DGJ290" s="3"/>
      <c r="DGK290" s="3"/>
      <c r="DGL290" s="3"/>
      <c r="DGM290" s="3"/>
      <c r="DGN290" s="3"/>
      <c r="DGO290" s="3"/>
      <c r="DGP290" s="3"/>
      <c r="DGQ290" s="3"/>
      <c r="DGR290" s="3"/>
      <c r="DGS290" s="3"/>
      <c r="DGT290" s="3"/>
      <c r="DGU290" s="3"/>
      <c r="DGV290" s="3"/>
      <c r="DGW290" s="3"/>
      <c r="DGX290" s="3"/>
      <c r="DGY290" s="3"/>
      <c r="DGZ290" s="3"/>
      <c r="DHA290" s="3"/>
      <c r="DHB290" s="3"/>
      <c r="DHC290" s="3"/>
      <c r="DHD290" s="3"/>
      <c r="DHE290" s="3"/>
      <c r="DHF290" s="3"/>
      <c r="DHG290" s="3"/>
      <c r="DHH290" s="3"/>
      <c r="DHI290" s="3"/>
      <c r="DHJ290" s="3"/>
      <c r="DHK290" s="3"/>
      <c r="DHL290" s="3"/>
      <c r="DHM290" s="3"/>
      <c r="DHN290" s="3"/>
      <c r="DHO290" s="3"/>
      <c r="DHP290" s="3"/>
      <c r="DHQ290" s="3"/>
      <c r="DHR290" s="3"/>
      <c r="DHS290" s="3"/>
      <c r="DHT290" s="3"/>
      <c r="DHU290" s="3"/>
      <c r="DHV290" s="3"/>
      <c r="DHW290" s="3"/>
      <c r="DHX290" s="3"/>
      <c r="DHY290" s="3"/>
      <c r="DHZ290" s="3"/>
      <c r="DIA290" s="3"/>
      <c r="DIB290" s="3"/>
      <c r="DIC290" s="3"/>
      <c r="DID290" s="3"/>
      <c r="DIE290" s="3"/>
      <c r="DIF290" s="3"/>
      <c r="DIG290" s="3"/>
      <c r="DIH290" s="3"/>
      <c r="DII290" s="3"/>
      <c r="DIJ290" s="3"/>
      <c r="DIK290" s="3"/>
      <c r="DIL290" s="3"/>
      <c r="DIM290" s="3"/>
      <c r="DIN290" s="3"/>
      <c r="DIO290" s="3"/>
      <c r="DIP290" s="3"/>
      <c r="DIQ290" s="3"/>
      <c r="DIR290" s="3"/>
      <c r="DIS290" s="3"/>
      <c r="DIT290" s="3"/>
      <c r="DIU290" s="3"/>
      <c r="DIV290" s="3"/>
      <c r="DIW290" s="3"/>
      <c r="DIX290" s="3"/>
      <c r="DIY290" s="3"/>
      <c r="DIZ290" s="3"/>
      <c r="DJA290" s="3"/>
      <c r="DJB290" s="3"/>
      <c r="DJC290" s="3"/>
      <c r="DJD290" s="3"/>
      <c r="DJE290" s="3"/>
      <c r="DJF290" s="3"/>
      <c r="DJG290" s="3"/>
      <c r="DJH290" s="3"/>
      <c r="DJI290" s="3"/>
      <c r="DJJ290" s="3"/>
      <c r="DJK290" s="3"/>
      <c r="DJL290" s="3"/>
      <c r="DJM290" s="3"/>
      <c r="DJN290" s="3"/>
      <c r="DJO290" s="3"/>
      <c r="DJP290" s="3"/>
      <c r="DJQ290" s="3"/>
      <c r="DJR290" s="3"/>
      <c r="DJS290" s="3"/>
      <c r="DJT290" s="3"/>
      <c r="DJU290" s="3"/>
      <c r="DJV290" s="3"/>
      <c r="DJW290" s="3"/>
      <c r="DJX290" s="3"/>
      <c r="DJY290" s="3"/>
      <c r="DJZ290" s="3"/>
      <c r="DKA290" s="3"/>
      <c r="DKB290" s="3"/>
      <c r="DKC290" s="3"/>
      <c r="DKD290" s="3"/>
      <c r="DKE290" s="3"/>
      <c r="DKF290" s="3"/>
      <c r="DKG290" s="3"/>
      <c r="DKH290" s="3"/>
      <c r="DKI290" s="3"/>
      <c r="DKJ290" s="3"/>
      <c r="DKK290" s="3"/>
      <c r="DKL290" s="3"/>
      <c r="DKM290" s="3"/>
      <c r="DKN290" s="3"/>
      <c r="DKO290" s="3"/>
      <c r="DKP290" s="3"/>
      <c r="DKQ290" s="3"/>
      <c r="DKR290" s="3"/>
      <c r="DKS290" s="3"/>
      <c r="DKT290" s="3"/>
      <c r="DKU290" s="3"/>
      <c r="DKV290" s="3"/>
      <c r="DKW290" s="3"/>
      <c r="DKX290" s="3"/>
      <c r="DKY290" s="3"/>
      <c r="DKZ290" s="3"/>
      <c r="DLA290" s="3"/>
      <c r="DLB290" s="3"/>
      <c r="DLC290" s="3"/>
      <c r="DLD290" s="3"/>
      <c r="DLE290" s="3"/>
      <c r="DLF290" s="3"/>
      <c r="DLG290" s="3"/>
      <c r="DLH290" s="3"/>
      <c r="DLI290" s="3"/>
      <c r="DLJ290" s="3"/>
      <c r="DLK290" s="3"/>
      <c r="DLL290" s="3"/>
      <c r="DLM290" s="3"/>
      <c r="DLN290" s="3"/>
      <c r="DLO290" s="3"/>
      <c r="DLP290" s="3"/>
      <c r="DLQ290" s="3"/>
      <c r="DLR290" s="3"/>
      <c r="DLS290" s="3"/>
      <c r="DLT290" s="3"/>
      <c r="DLU290" s="3"/>
      <c r="DLV290" s="3"/>
      <c r="DLW290" s="3"/>
      <c r="DLX290" s="3"/>
      <c r="DLY290" s="3"/>
      <c r="DLZ290" s="3"/>
      <c r="DMA290" s="3"/>
      <c r="DMB290" s="3"/>
      <c r="DMC290" s="3"/>
      <c r="DMD290" s="3"/>
      <c r="DME290" s="3"/>
      <c r="DMF290" s="3"/>
      <c r="DMG290" s="3"/>
      <c r="DMH290" s="3"/>
      <c r="DMI290" s="3"/>
      <c r="DMJ290" s="3"/>
      <c r="DMK290" s="3"/>
      <c r="DML290" s="3"/>
      <c r="DMM290" s="3"/>
      <c r="DMN290" s="3"/>
      <c r="DMO290" s="3"/>
      <c r="DMP290" s="3"/>
      <c r="DMQ290" s="3"/>
      <c r="DMR290" s="3"/>
      <c r="DMS290" s="3"/>
      <c r="DMT290" s="3"/>
      <c r="DMU290" s="3"/>
      <c r="DMV290" s="3"/>
      <c r="DMW290" s="3"/>
      <c r="DMX290" s="3"/>
      <c r="DMY290" s="3"/>
      <c r="DMZ290" s="3"/>
      <c r="DNA290" s="3"/>
      <c r="DNB290" s="3"/>
      <c r="DNC290" s="3"/>
      <c r="DND290" s="3"/>
      <c r="DNE290" s="3"/>
      <c r="DNF290" s="3"/>
      <c r="DNG290" s="3"/>
      <c r="DNH290" s="3"/>
      <c r="DNI290" s="3"/>
      <c r="DNJ290" s="3"/>
      <c r="DNK290" s="3"/>
      <c r="DNL290" s="3"/>
      <c r="DNM290" s="3"/>
      <c r="DNN290" s="3"/>
      <c r="DNO290" s="3"/>
      <c r="DNP290" s="3"/>
      <c r="DNQ290" s="3"/>
      <c r="DNR290" s="3"/>
      <c r="DNS290" s="3"/>
      <c r="DNT290" s="3"/>
      <c r="DNU290" s="3"/>
      <c r="DNV290" s="3"/>
      <c r="DNW290" s="3"/>
      <c r="DNX290" s="3"/>
      <c r="DNY290" s="3"/>
      <c r="DNZ290" s="3"/>
      <c r="DOA290" s="3"/>
      <c r="DOB290" s="3"/>
      <c r="DOC290" s="3"/>
      <c r="DOD290" s="3"/>
      <c r="DOE290" s="3"/>
      <c r="DOF290" s="3"/>
      <c r="DOG290" s="3"/>
      <c r="DOH290" s="3"/>
      <c r="DOI290" s="3"/>
      <c r="DOJ290" s="3"/>
      <c r="DOK290" s="3"/>
      <c r="DOL290" s="3"/>
      <c r="DOM290" s="3"/>
      <c r="DON290" s="3"/>
      <c r="DOO290" s="3"/>
      <c r="DOP290" s="3"/>
      <c r="DOQ290" s="3"/>
      <c r="DOR290" s="3"/>
      <c r="DOS290" s="3"/>
      <c r="DOT290" s="3"/>
      <c r="DOU290" s="3"/>
      <c r="DOV290" s="3"/>
      <c r="DOW290" s="3"/>
      <c r="DOX290" s="3"/>
      <c r="DOY290" s="3"/>
      <c r="DOZ290" s="3"/>
      <c r="DPA290" s="3"/>
      <c r="DPB290" s="3"/>
      <c r="DPC290" s="3"/>
      <c r="DPD290" s="3"/>
      <c r="DPE290" s="3"/>
      <c r="DPF290" s="3"/>
      <c r="DPG290" s="3"/>
      <c r="DPH290" s="3"/>
      <c r="DPI290" s="3"/>
      <c r="DPJ290" s="3"/>
      <c r="DPK290" s="3"/>
      <c r="DPL290" s="3"/>
      <c r="DPM290" s="3"/>
      <c r="DPN290" s="3"/>
      <c r="DPO290" s="3"/>
      <c r="DPP290" s="3"/>
      <c r="DPQ290" s="3"/>
      <c r="DPR290" s="3"/>
      <c r="DPS290" s="3"/>
      <c r="DPT290" s="3"/>
      <c r="DPU290" s="3"/>
      <c r="DPV290" s="3"/>
      <c r="DPW290" s="3"/>
      <c r="DPX290" s="3"/>
      <c r="DPY290" s="3"/>
      <c r="DPZ290" s="3"/>
      <c r="DQA290" s="3"/>
      <c r="DQB290" s="3"/>
      <c r="DQC290" s="3"/>
      <c r="DQD290" s="3"/>
      <c r="DQE290" s="3"/>
      <c r="DQF290" s="3"/>
      <c r="DQG290" s="3"/>
      <c r="DQH290" s="3"/>
      <c r="DQI290" s="3"/>
      <c r="DQJ290" s="3"/>
      <c r="DQK290" s="3"/>
      <c r="DQL290" s="3"/>
      <c r="DQM290" s="3"/>
      <c r="DQN290" s="3"/>
      <c r="DQO290" s="3"/>
      <c r="DQP290" s="3"/>
      <c r="DQQ290" s="3"/>
      <c r="DQR290" s="3"/>
      <c r="DQS290" s="3"/>
      <c r="DQT290" s="3"/>
      <c r="DQU290" s="3"/>
      <c r="DQV290" s="3"/>
      <c r="DQW290" s="3"/>
      <c r="DQX290" s="3"/>
      <c r="DQY290" s="3"/>
      <c r="DQZ290" s="3"/>
      <c r="DRA290" s="3"/>
      <c r="DRB290" s="3"/>
      <c r="DRC290" s="3"/>
      <c r="DRD290" s="3"/>
      <c r="DRE290" s="3"/>
      <c r="DRF290" s="3"/>
      <c r="DRG290" s="3"/>
      <c r="DRH290" s="3"/>
      <c r="DRI290" s="3"/>
      <c r="DRJ290" s="3"/>
      <c r="DRK290" s="3"/>
      <c r="DRL290" s="3"/>
      <c r="DRM290" s="3"/>
      <c r="DRN290" s="3"/>
      <c r="DRO290" s="3"/>
      <c r="DRP290" s="3"/>
      <c r="DRQ290" s="3"/>
      <c r="DRR290" s="3"/>
      <c r="DRS290" s="3"/>
      <c r="DRT290" s="3"/>
      <c r="DRU290" s="3"/>
      <c r="DRV290" s="3"/>
      <c r="DRW290" s="3"/>
      <c r="DRX290" s="3"/>
      <c r="DRY290" s="3"/>
      <c r="DRZ290" s="3"/>
      <c r="DSA290" s="3"/>
      <c r="DSB290" s="3"/>
      <c r="DSC290" s="3"/>
      <c r="DSD290" s="3"/>
      <c r="DSE290" s="3"/>
      <c r="DSF290" s="3"/>
      <c r="DSG290" s="3"/>
      <c r="DSH290" s="3"/>
      <c r="DSI290" s="3"/>
      <c r="DSJ290" s="3"/>
      <c r="DSK290" s="3"/>
      <c r="DSL290" s="3"/>
      <c r="DSM290" s="3"/>
      <c r="DSN290" s="3"/>
      <c r="DSO290" s="3"/>
      <c r="DSP290" s="3"/>
      <c r="DSQ290" s="3"/>
      <c r="DSR290" s="3"/>
      <c r="DSS290" s="3"/>
      <c r="DST290" s="3"/>
      <c r="DSU290" s="3"/>
      <c r="DSV290" s="3"/>
      <c r="DSW290" s="3"/>
      <c r="DSX290" s="3"/>
      <c r="DSY290" s="3"/>
      <c r="DSZ290" s="3"/>
      <c r="DTA290" s="3"/>
      <c r="DTB290" s="3"/>
      <c r="DTC290" s="3"/>
      <c r="DTD290" s="3"/>
      <c r="DTE290" s="3"/>
      <c r="DTF290" s="3"/>
      <c r="DTG290" s="3"/>
      <c r="DTH290" s="3"/>
      <c r="DTI290" s="3"/>
      <c r="DTJ290" s="3"/>
      <c r="DTK290" s="3"/>
      <c r="DTL290" s="3"/>
      <c r="DTM290" s="3"/>
      <c r="DTN290" s="3"/>
      <c r="DTO290" s="3"/>
      <c r="DTP290" s="3"/>
      <c r="DTQ290" s="3"/>
      <c r="DTR290" s="3"/>
      <c r="DTS290" s="3"/>
      <c r="DTT290" s="3"/>
      <c r="DTU290" s="3"/>
      <c r="DTV290" s="3"/>
      <c r="DTW290" s="3"/>
      <c r="DTX290" s="3"/>
      <c r="DTY290" s="3"/>
      <c r="DTZ290" s="3"/>
      <c r="DUA290" s="3"/>
      <c r="DUB290" s="3"/>
      <c r="DUC290" s="3"/>
      <c r="DUD290" s="3"/>
      <c r="DUE290" s="3"/>
      <c r="DUF290" s="3"/>
      <c r="DUG290" s="3"/>
      <c r="DUH290" s="3"/>
      <c r="DUI290" s="3"/>
      <c r="DUJ290" s="3"/>
      <c r="DUK290" s="3"/>
      <c r="DUL290" s="3"/>
      <c r="DUM290" s="3"/>
      <c r="DUN290" s="3"/>
      <c r="DUO290" s="3"/>
      <c r="DUP290" s="3"/>
      <c r="DUQ290" s="3"/>
      <c r="DUR290" s="3"/>
      <c r="DUS290" s="3"/>
      <c r="DUT290" s="3"/>
      <c r="DUU290" s="3"/>
      <c r="DUV290" s="3"/>
      <c r="DUW290" s="3"/>
      <c r="DUX290" s="3"/>
      <c r="DUY290" s="3"/>
      <c r="DUZ290" s="3"/>
      <c r="DVA290" s="3"/>
      <c r="DVB290" s="3"/>
      <c r="DVC290" s="3"/>
      <c r="DVD290" s="3"/>
      <c r="DVE290" s="3"/>
      <c r="DVF290" s="3"/>
      <c r="DVG290" s="3"/>
      <c r="DVH290" s="3"/>
      <c r="DVI290" s="3"/>
      <c r="DVJ290" s="3"/>
      <c r="DVK290" s="3"/>
      <c r="DVL290" s="3"/>
      <c r="DVM290" s="3"/>
      <c r="DVN290" s="3"/>
      <c r="DVO290" s="3"/>
      <c r="DVP290" s="3"/>
      <c r="DVQ290" s="3"/>
      <c r="DVR290" s="3"/>
      <c r="DVS290" s="3"/>
      <c r="DVT290" s="3"/>
      <c r="DVU290" s="3"/>
      <c r="DVV290" s="3"/>
      <c r="DVW290" s="3"/>
      <c r="DVX290" s="3"/>
      <c r="DVY290" s="3"/>
      <c r="DVZ290" s="3"/>
      <c r="DWA290" s="3"/>
      <c r="DWB290" s="3"/>
      <c r="DWC290" s="3"/>
      <c r="DWD290" s="3"/>
      <c r="DWE290" s="3"/>
      <c r="DWF290" s="3"/>
      <c r="DWG290" s="3"/>
      <c r="DWH290" s="3"/>
      <c r="DWI290" s="3"/>
      <c r="DWJ290" s="3"/>
      <c r="DWK290" s="3"/>
      <c r="DWL290" s="3"/>
      <c r="DWM290" s="3"/>
      <c r="DWN290" s="3"/>
      <c r="DWO290" s="3"/>
      <c r="DWP290" s="3"/>
      <c r="DWQ290" s="3"/>
      <c r="DWR290" s="3"/>
      <c r="DWS290" s="3"/>
      <c r="DWT290" s="3"/>
      <c r="DWU290" s="3"/>
      <c r="DWV290" s="3"/>
      <c r="DWW290" s="3"/>
      <c r="DWX290" s="3"/>
      <c r="DWY290" s="3"/>
      <c r="DWZ290" s="3"/>
      <c r="DXA290" s="3"/>
      <c r="DXB290" s="3"/>
      <c r="DXC290" s="3"/>
      <c r="DXD290" s="3"/>
      <c r="DXE290" s="3"/>
      <c r="DXF290" s="3"/>
      <c r="DXG290" s="3"/>
      <c r="DXH290" s="3"/>
      <c r="DXI290" s="3"/>
      <c r="DXJ290" s="3"/>
      <c r="DXK290" s="3"/>
      <c r="DXL290" s="3"/>
      <c r="DXM290" s="3"/>
      <c r="DXN290" s="3"/>
      <c r="DXO290" s="3"/>
      <c r="DXP290" s="3"/>
      <c r="DXQ290" s="3"/>
      <c r="DXR290" s="3"/>
      <c r="DXS290" s="3"/>
      <c r="DXT290" s="3"/>
      <c r="DXU290" s="3"/>
      <c r="DXV290" s="3"/>
      <c r="DXW290" s="3"/>
      <c r="DXX290" s="3"/>
      <c r="DXY290" s="3"/>
      <c r="DXZ290" s="3"/>
      <c r="DYA290" s="3"/>
      <c r="DYB290" s="3"/>
      <c r="DYC290" s="3"/>
      <c r="DYD290" s="3"/>
      <c r="DYE290" s="3"/>
      <c r="DYF290" s="3"/>
      <c r="DYG290" s="3"/>
      <c r="DYH290" s="3"/>
      <c r="DYI290" s="3"/>
      <c r="DYJ290" s="3"/>
      <c r="DYK290" s="3"/>
      <c r="DYL290" s="3"/>
      <c r="DYM290" s="3"/>
      <c r="DYN290" s="3"/>
      <c r="DYO290" s="3"/>
      <c r="DYP290" s="3"/>
      <c r="DYQ290" s="3"/>
      <c r="DYR290" s="3"/>
      <c r="DYS290" s="3"/>
      <c r="DYT290" s="3"/>
      <c r="DYU290" s="3"/>
      <c r="DYV290" s="3"/>
      <c r="DYW290" s="3"/>
      <c r="DYX290" s="3"/>
      <c r="DYY290" s="3"/>
      <c r="DYZ290" s="3"/>
      <c r="DZA290" s="3"/>
      <c r="DZB290" s="3"/>
      <c r="DZC290" s="3"/>
      <c r="DZD290" s="3"/>
      <c r="DZE290" s="3"/>
      <c r="DZF290" s="3"/>
      <c r="DZG290" s="3"/>
      <c r="DZH290" s="3"/>
      <c r="DZI290" s="3"/>
      <c r="DZJ290" s="3"/>
      <c r="DZK290" s="3"/>
      <c r="DZL290" s="3"/>
      <c r="DZM290" s="3"/>
      <c r="DZN290" s="3"/>
      <c r="DZO290" s="3"/>
      <c r="DZP290" s="3"/>
      <c r="DZQ290" s="3"/>
      <c r="DZR290" s="3"/>
      <c r="DZS290" s="3"/>
      <c r="DZT290" s="3"/>
      <c r="DZU290" s="3"/>
      <c r="DZV290" s="3"/>
      <c r="DZW290" s="3"/>
      <c r="DZX290" s="3"/>
      <c r="DZY290" s="3"/>
      <c r="DZZ290" s="3"/>
      <c r="EAA290" s="3"/>
      <c r="EAB290" s="3"/>
      <c r="EAC290" s="3"/>
      <c r="EAD290" s="3"/>
      <c r="EAE290" s="3"/>
      <c r="EAF290" s="3"/>
      <c r="EAG290" s="3"/>
      <c r="EAH290" s="3"/>
      <c r="EAI290" s="3"/>
      <c r="EAJ290" s="3"/>
      <c r="EAK290" s="3"/>
      <c r="EAL290" s="3"/>
      <c r="EAM290" s="3"/>
      <c r="EAN290" s="3"/>
      <c r="EAO290" s="3"/>
      <c r="EAP290" s="3"/>
      <c r="EAQ290" s="3"/>
      <c r="EAR290" s="3"/>
      <c r="EAS290" s="3"/>
      <c r="EAT290" s="3"/>
      <c r="EAU290" s="3"/>
      <c r="EAV290" s="3"/>
      <c r="EAW290" s="3"/>
      <c r="EAX290" s="3"/>
      <c r="EAY290" s="3"/>
      <c r="EAZ290" s="3"/>
      <c r="EBA290" s="3"/>
      <c r="EBB290" s="3"/>
      <c r="EBC290" s="3"/>
      <c r="EBD290" s="3"/>
      <c r="EBE290" s="3"/>
      <c r="EBF290" s="3"/>
      <c r="EBG290" s="3"/>
      <c r="EBH290" s="3"/>
      <c r="EBI290" s="3"/>
      <c r="EBJ290" s="3"/>
      <c r="EBK290" s="3"/>
      <c r="EBL290" s="3"/>
      <c r="EBM290" s="3"/>
      <c r="EBN290" s="3"/>
      <c r="EBO290" s="3"/>
      <c r="EBP290" s="3"/>
      <c r="EBQ290" s="3"/>
      <c r="EBR290" s="3"/>
      <c r="EBS290" s="3"/>
      <c r="EBT290" s="3"/>
      <c r="EBU290" s="3"/>
      <c r="EBV290" s="3"/>
      <c r="EBW290" s="3"/>
      <c r="EBX290" s="3"/>
      <c r="EBY290" s="3"/>
      <c r="EBZ290" s="3"/>
      <c r="ECA290" s="3"/>
      <c r="ECB290" s="3"/>
      <c r="ECC290" s="3"/>
      <c r="ECD290" s="3"/>
      <c r="ECE290" s="3"/>
      <c r="ECF290" s="3"/>
      <c r="ECG290" s="3"/>
      <c r="ECH290" s="3"/>
      <c r="ECI290" s="3"/>
      <c r="ECJ290" s="3"/>
      <c r="ECK290" s="3"/>
      <c r="ECL290" s="3"/>
      <c r="ECM290" s="3"/>
      <c r="ECN290" s="3"/>
      <c r="ECO290" s="3"/>
      <c r="ECP290" s="3"/>
      <c r="ECQ290" s="3"/>
      <c r="ECR290" s="3"/>
      <c r="ECS290" s="3"/>
      <c r="ECT290" s="3"/>
      <c r="ECU290" s="3"/>
      <c r="ECV290" s="3"/>
      <c r="ECW290" s="3"/>
      <c r="ECX290" s="3"/>
      <c r="ECY290" s="3"/>
      <c r="ECZ290" s="3"/>
      <c r="EDA290" s="3"/>
      <c r="EDB290" s="3"/>
      <c r="EDC290" s="3"/>
      <c r="EDD290" s="3"/>
      <c r="EDE290" s="3"/>
      <c r="EDF290" s="3"/>
      <c r="EDG290" s="3"/>
      <c r="EDH290" s="3"/>
      <c r="EDI290" s="3"/>
      <c r="EDJ290" s="3"/>
      <c r="EDK290" s="3"/>
      <c r="EDL290" s="3"/>
      <c r="EDM290" s="3"/>
      <c r="EDN290" s="3"/>
      <c r="EDO290" s="3"/>
      <c r="EDP290" s="3"/>
      <c r="EDQ290" s="3"/>
      <c r="EDR290" s="3"/>
      <c r="EDS290" s="3"/>
      <c r="EDT290" s="3"/>
      <c r="EDU290" s="3"/>
      <c r="EDV290" s="3"/>
      <c r="EDW290" s="3"/>
      <c r="EDX290" s="3"/>
      <c r="EDY290" s="3"/>
      <c r="EDZ290" s="3"/>
      <c r="EEA290" s="3"/>
      <c r="EEB290" s="3"/>
      <c r="EEC290" s="3"/>
      <c r="EED290" s="3"/>
      <c r="EEE290" s="3"/>
      <c r="EEF290" s="3"/>
      <c r="EEG290" s="3"/>
      <c r="EEH290" s="3"/>
      <c r="EEI290" s="3"/>
      <c r="EEJ290" s="3"/>
      <c r="EEK290" s="3"/>
      <c r="EEL290" s="3"/>
      <c r="EEM290" s="3"/>
      <c r="EEN290" s="3"/>
      <c r="EEO290" s="3"/>
      <c r="EEP290" s="3"/>
      <c r="EEQ290" s="3"/>
      <c r="EER290" s="3"/>
      <c r="EES290" s="3"/>
      <c r="EET290" s="3"/>
      <c r="EEU290" s="3"/>
      <c r="EEV290" s="3"/>
      <c r="EEW290" s="3"/>
      <c r="EEX290" s="3"/>
      <c r="EEY290" s="3"/>
      <c r="EEZ290" s="3"/>
      <c r="EFA290" s="3"/>
      <c r="EFB290" s="3"/>
      <c r="EFC290" s="3"/>
      <c r="EFD290" s="3"/>
      <c r="EFE290" s="3"/>
      <c r="EFF290" s="3"/>
      <c r="EFG290" s="3"/>
      <c r="EFH290" s="3"/>
      <c r="EFI290" s="3"/>
      <c r="EFJ290" s="3"/>
      <c r="EFK290" s="3"/>
      <c r="EFL290" s="3"/>
      <c r="EFM290" s="3"/>
      <c r="EFN290" s="3"/>
      <c r="EFO290" s="3"/>
      <c r="EFP290" s="3"/>
      <c r="EFQ290" s="3"/>
      <c r="EFR290" s="3"/>
      <c r="EFS290" s="3"/>
      <c r="EFT290" s="3"/>
      <c r="EFU290" s="3"/>
      <c r="EFV290" s="3"/>
      <c r="EFW290" s="3"/>
      <c r="EFX290" s="3"/>
      <c r="EFY290" s="3"/>
      <c r="EFZ290" s="3"/>
      <c r="EGA290" s="3"/>
      <c r="EGB290" s="3"/>
      <c r="EGC290" s="3"/>
      <c r="EGD290" s="3"/>
      <c r="EGE290" s="3"/>
      <c r="EGF290" s="3"/>
      <c r="EGG290" s="3"/>
      <c r="EGH290" s="3"/>
      <c r="EGI290" s="3"/>
      <c r="EGJ290" s="3"/>
      <c r="EGK290" s="3"/>
      <c r="EGL290" s="3"/>
      <c r="EGM290" s="3"/>
      <c r="EGN290" s="3"/>
      <c r="EGO290" s="3"/>
      <c r="EGP290" s="3"/>
      <c r="EGQ290" s="3"/>
      <c r="EGR290" s="3"/>
      <c r="EGS290" s="3"/>
      <c r="EGT290" s="3"/>
      <c r="EGU290" s="3"/>
      <c r="EGV290" s="3"/>
      <c r="EGW290" s="3"/>
      <c r="EGX290" s="3"/>
      <c r="EGY290" s="3"/>
      <c r="EGZ290" s="3"/>
      <c r="EHA290" s="3"/>
      <c r="EHB290" s="3"/>
      <c r="EHC290" s="3"/>
      <c r="EHD290" s="3"/>
      <c r="EHE290" s="3"/>
      <c r="EHF290" s="3"/>
      <c r="EHG290" s="3"/>
      <c r="EHH290" s="3"/>
      <c r="EHI290" s="3"/>
      <c r="EHJ290" s="3"/>
      <c r="EHK290" s="3"/>
      <c r="EHL290" s="3"/>
      <c r="EHM290" s="3"/>
      <c r="EHN290" s="3"/>
      <c r="EHO290" s="3"/>
      <c r="EHP290" s="3"/>
      <c r="EHQ290" s="3"/>
      <c r="EHR290" s="3"/>
      <c r="EHS290" s="3"/>
      <c r="EHT290" s="3"/>
      <c r="EHU290" s="3"/>
      <c r="EHV290" s="3"/>
      <c r="EHW290" s="3"/>
      <c r="EHX290" s="3"/>
      <c r="EHY290" s="3"/>
      <c r="EHZ290" s="3"/>
      <c r="EIA290" s="3"/>
      <c r="EIB290" s="3"/>
      <c r="EIC290" s="3"/>
      <c r="EID290" s="3"/>
      <c r="EIE290" s="3"/>
      <c r="EIF290" s="3"/>
      <c r="EIG290" s="3"/>
      <c r="EIH290" s="3"/>
      <c r="EII290" s="3"/>
      <c r="EIJ290" s="3"/>
      <c r="EIK290" s="3"/>
      <c r="EIL290" s="3"/>
      <c r="EIM290" s="3"/>
      <c r="EIN290" s="3"/>
      <c r="EIO290" s="3"/>
      <c r="EIP290" s="3"/>
      <c r="EIQ290" s="3"/>
      <c r="EIR290" s="3"/>
      <c r="EIS290" s="3"/>
      <c r="EIT290" s="3"/>
      <c r="EIU290" s="3"/>
      <c r="EIV290" s="3"/>
      <c r="EIW290" s="3"/>
      <c r="EIX290" s="3"/>
      <c r="EIY290" s="3"/>
      <c r="EIZ290" s="3"/>
      <c r="EJA290" s="3"/>
      <c r="EJB290" s="3"/>
      <c r="EJC290" s="3"/>
      <c r="EJD290" s="3"/>
      <c r="EJE290" s="3"/>
      <c r="EJF290" s="3"/>
      <c r="EJG290" s="3"/>
      <c r="EJH290" s="3"/>
      <c r="EJI290" s="3"/>
      <c r="EJJ290" s="3"/>
      <c r="EJK290" s="3"/>
      <c r="EJL290" s="3"/>
      <c r="EJM290" s="3"/>
      <c r="EJN290" s="3"/>
      <c r="EJO290" s="3"/>
      <c r="EJP290" s="3"/>
      <c r="EJQ290" s="3"/>
      <c r="EJR290" s="3"/>
      <c r="EJS290" s="3"/>
      <c r="EJT290" s="3"/>
      <c r="EJU290" s="3"/>
      <c r="EJV290" s="3"/>
      <c r="EJW290" s="3"/>
      <c r="EJX290" s="3"/>
      <c r="EJY290" s="3"/>
      <c r="EJZ290" s="3"/>
      <c r="EKA290" s="3"/>
      <c r="EKB290" s="3"/>
      <c r="EKC290" s="3"/>
      <c r="EKD290" s="3"/>
      <c r="EKE290" s="3"/>
      <c r="EKF290" s="3"/>
      <c r="EKG290" s="3"/>
      <c r="EKH290" s="3"/>
      <c r="EKI290" s="3"/>
      <c r="EKJ290" s="3"/>
      <c r="EKK290" s="3"/>
      <c r="EKL290" s="3"/>
      <c r="EKM290" s="3"/>
      <c r="EKN290" s="3"/>
      <c r="EKO290" s="3"/>
      <c r="EKP290" s="3"/>
      <c r="EKQ290" s="3"/>
      <c r="EKR290" s="3"/>
      <c r="EKS290" s="3"/>
      <c r="EKT290" s="3"/>
      <c r="EKU290" s="3"/>
      <c r="EKV290" s="3"/>
      <c r="EKW290" s="3"/>
      <c r="EKX290" s="3"/>
      <c r="EKY290" s="3"/>
      <c r="EKZ290" s="3"/>
      <c r="ELA290" s="3"/>
      <c r="ELB290" s="3"/>
      <c r="ELC290" s="3"/>
      <c r="ELD290" s="3"/>
      <c r="ELE290" s="3"/>
      <c r="ELF290" s="3"/>
      <c r="ELG290" s="3"/>
      <c r="ELH290" s="3"/>
      <c r="ELI290" s="3"/>
      <c r="ELJ290" s="3"/>
      <c r="ELK290" s="3"/>
      <c r="ELL290" s="3"/>
      <c r="ELM290" s="3"/>
      <c r="ELN290" s="3"/>
      <c r="ELO290" s="3"/>
      <c r="ELP290" s="3"/>
      <c r="ELQ290" s="3"/>
      <c r="ELR290" s="3"/>
      <c r="ELS290" s="3"/>
      <c r="ELT290" s="3"/>
      <c r="ELU290" s="3"/>
      <c r="ELV290" s="3"/>
      <c r="ELW290" s="3"/>
      <c r="ELX290" s="3"/>
      <c r="ELY290" s="3"/>
      <c r="ELZ290" s="3"/>
      <c r="EMA290" s="3"/>
      <c r="EMB290" s="3"/>
      <c r="EMC290" s="3"/>
      <c r="EMD290" s="3"/>
      <c r="EME290" s="3"/>
      <c r="EMF290" s="3"/>
      <c r="EMG290" s="3"/>
      <c r="EMH290" s="3"/>
      <c r="EMI290" s="3"/>
      <c r="EMJ290" s="3"/>
      <c r="EMK290" s="3"/>
      <c r="EML290" s="3"/>
      <c r="EMM290" s="3"/>
      <c r="EMN290" s="3"/>
      <c r="EMO290" s="3"/>
      <c r="EMP290" s="3"/>
      <c r="EMQ290" s="3"/>
      <c r="EMR290" s="3"/>
      <c r="EMS290" s="3"/>
      <c r="EMT290" s="3"/>
      <c r="EMU290" s="3"/>
      <c r="EMV290" s="3"/>
      <c r="EMW290" s="3"/>
      <c r="EMX290" s="3"/>
      <c r="EMY290" s="3"/>
      <c r="EMZ290" s="3"/>
      <c r="ENA290" s="3"/>
      <c r="ENB290" s="3"/>
      <c r="ENC290" s="3"/>
      <c r="END290" s="3"/>
      <c r="ENE290" s="3"/>
      <c r="ENF290" s="3"/>
      <c r="ENG290" s="3"/>
      <c r="ENH290" s="3"/>
      <c r="ENI290" s="3"/>
      <c r="ENJ290" s="3"/>
      <c r="ENK290" s="3"/>
      <c r="ENL290" s="3"/>
      <c r="ENM290" s="3"/>
      <c r="ENN290" s="3"/>
      <c r="ENO290" s="3"/>
      <c r="ENP290" s="3"/>
      <c r="ENQ290" s="3"/>
      <c r="ENR290" s="3"/>
      <c r="ENS290" s="3"/>
      <c r="ENT290" s="3"/>
      <c r="ENU290" s="3"/>
      <c r="ENV290" s="3"/>
      <c r="ENW290" s="3"/>
      <c r="ENX290" s="3"/>
      <c r="ENY290" s="3"/>
      <c r="ENZ290" s="3"/>
      <c r="EOA290" s="3"/>
      <c r="EOB290" s="3"/>
      <c r="EOC290" s="3"/>
      <c r="EOD290" s="3"/>
      <c r="EOE290" s="3"/>
      <c r="EOF290" s="3"/>
      <c r="EOG290" s="3"/>
      <c r="EOH290" s="3"/>
      <c r="EOI290" s="3"/>
      <c r="EOJ290" s="3"/>
      <c r="EOK290" s="3"/>
      <c r="EOL290" s="3"/>
      <c r="EOM290" s="3"/>
      <c r="EON290" s="3"/>
      <c r="EOO290" s="3"/>
      <c r="EOP290" s="3"/>
      <c r="EOQ290" s="3"/>
      <c r="EOR290" s="3"/>
      <c r="EOS290" s="3"/>
      <c r="EOT290" s="3"/>
      <c r="EOU290" s="3"/>
      <c r="EOV290" s="3"/>
      <c r="EOW290" s="3"/>
      <c r="EOX290" s="3"/>
      <c r="EOY290" s="3"/>
      <c r="EOZ290" s="3"/>
      <c r="EPA290" s="3"/>
      <c r="EPB290" s="3"/>
      <c r="EPC290" s="3"/>
      <c r="EPD290" s="3"/>
      <c r="EPE290" s="3"/>
      <c r="EPF290" s="3"/>
      <c r="EPG290" s="3"/>
      <c r="EPH290" s="3"/>
      <c r="EPI290" s="3"/>
      <c r="EPJ290" s="3"/>
      <c r="EPK290" s="3"/>
      <c r="EPL290" s="3"/>
      <c r="EPM290" s="3"/>
      <c r="EPN290" s="3"/>
      <c r="EPO290" s="3"/>
      <c r="EPP290" s="3"/>
      <c r="EPQ290" s="3"/>
      <c r="EPR290" s="3"/>
      <c r="EPS290" s="3"/>
      <c r="EPT290" s="3"/>
      <c r="EPU290" s="3"/>
      <c r="EPV290" s="3"/>
      <c r="EPW290" s="3"/>
      <c r="EPX290" s="3"/>
      <c r="EPY290" s="3"/>
      <c r="EPZ290" s="3"/>
      <c r="EQA290" s="3"/>
      <c r="EQB290" s="3"/>
      <c r="EQC290" s="3"/>
      <c r="EQD290" s="3"/>
      <c r="EQE290" s="3"/>
      <c r="EQF290" s="3"/>
      <c r="EQG290" s="3"/>
      <c r="EQH290" s="3"/>
      <c r="EQI290" s="3"/>
      <c r="EQJ290" s="3"/>
      <c r="EQK290" s="3"/>
      <c r="EQL290" s="3"/>
      <c r="EQM290" s="3"/>
      <c r="EQN290" s="3"/>
      <c r="EQO290" s="3"/>
      <c r="EQP290" s="3"/>
      <c r="EQQ290" s="3"/>
      <c r="EQR290" s="3"/>
      <c r="EQS290" s="3"/>
      <c r="EQT290" s="3"/>
      <c r="EQU290" s="3"/>
      <c r="EQV290" s="3"/>
      <c r="EQW290" s="3"/>
      <c r="EQX290" s="3"/>
      <c r="EQY290" s="3"/>
      <c r="EQZ290" s="3"/>
      <c r="ERA290" s="3"/>
      <c r="ERB290" s="3"/>
      <c r="ERC290" s="3"/>
      <c r="ERD290" s="3"/>
      <c r="ERE290" s="3"/>
      <c r="ERF290" s="3"/>
      <c r="ERG290" s="3"/>
      <c r="ERH290" s="3"/>
      <c r="ERI290" s="3"/>
      <c r="ERJ290" s="3"/>
      <c r="ERK290" s="3"/>
      <c r="ERL290" s="3"/>
      <c r="ERM290" s="3"/>
      <c r="ERN290" s="3"/>
      <c r="ERO290" s="3"/>
      <c r="ERP290" s="3"/>
      <c r="ERQ290" s="3"/>
      <c r="ERR290" s="3"/>
      <c r="ERS290" s="3"/>
      <c r="ERT290" s="3"/>
      <c r="ERU290" s="3"/>
      <c r="ERV290" s="3"/>
      <c r="ERW290" s="3"/>
      <c r="ERX290" s="3"/>
      <c r="ERY290" s="3"/>
      <c r="ERZ290" s="3"/>
      <c r="ESA290" s="3"/>
      <c r="ESB290" s="3"/>
      <c r="ESC290" s="3"/>
      <c r="ESD290" s="3"/>
      <c r="ESE290" s="3"/>
      <c r="ESF290" s="3"/>
      <c r="ESG290" s="3"/>
      <c r="ESH290" s="3"/>
      <c r="ESI290" s="3"/>
      <c r="ESJ290" s="3"/>
      <c r="ESK290" s="3"/>
      <c r="ESL290" s="3"/>
      <c r="ESM290" s="3"/>
      <c r="ESN290" s="3"/>
      <c r="ESO290" s="3"/>
      <c r="ESP290" s="3"/>
      <c r="ESQ290" s="3"/>
      <c r="ESR290" s="3"/>
      <c r="ESS290" s="3"/>
      <c r="EST290" s="3"/>
      <c r="ESU290" s="3"/>
      <c r="ESV290" s="3"/>
      <c r="ESW290" s="3"/>
      <c r="ESX290" s="3"/>
      <c r="ESY290" s="3"/>
      <c r="ESZ290" s="3"/>
      <c r="ETA290" s="3"/>
      <c r="ETB290" s="3"/>
      <c r="ETC290" s="3"/>
      <c r="ETD290" s="3"/>
      <c r="ETE290" s="3"/>
      <c r="ETF290" s="3"/>
      <c r="ETG290" s="3"/>
      <c r="ETH290" s="3"/>
      <c r="ETI290" s="3"/>
      <c r="ETJ290" s="3"/>
      <c r="ETK290" s="3"/>
      <c r="ETL290" s="3"/>
      <c r="ETM290" s="3"/>
      <c r="ETN290" s="3"/>
      <c r="ETO290" s="3"/>
      <c r="ETP290" s="3"/>
      <c r="ETQ290" s="3"/>
      <c r="ETR290" s="3"/>
      <c r="ETS290" s="3"/>
      <c r="ETT290" s="3"/>
      <c r="ETU290" s="3"/>
      <c r="ETV290" s="3"/>
      <c r="ETW290" s="3"/>
      <c r="ETX290" s="3"/>
      <c r="ETY290" s="3"/>
      <c r="ETZ290" s="3"/>
      <c r="EUA290" s="3"/>
      <c r="EUB290" s="3"/>
      <c r="EUC290" s="3"/>
      <c r="EUD290" s="3"/>
      <c r="EUE290" s="3"/>
      <c r="EUF290" s="3"/>
      <c r="EUG290" s="3"/>
      <c r="EUH290" s="3"/>
      <c r="EUI290" s="3"/>
      <c r="EUJ290" s="3"/>
      <c r="EUK290" s="3"/>
      <c r="EUL290" s="3"/>
      <c r="EUM290" s="3"/>
      <c r="EUN290" s="3"/>
      <c r="EUO290" s="3"/>
      <c r="EUP290" s="3"/>
      <c r="EUQ290" s="3"/>
      <c r="EUR290" s="3"/>
      <c r="EUS290" s="3"/>
      <c r="EUT290" s="3"/>
      <c r="EUU290" s="3"/>
      <c r="EUV290" s="3"/>
      <c r="EUW290" s="3"/>
      <c r="EUX290" s="3"/>
      <c r="EUY290" s="3"/>
      <c r="EUZ290" s="3"/>
      <c r="EVA290" s="3"/>
      <c r="EVB290" s="3"/>
      <c r="EVC290" s="3"/>
      <c r="EVD290" s="3"/>
      <c r="EVE290" s="3"/>
      <c r="EVF290" s="3"/>
      <c r="EVG290" s="3"/>
      <c r="EVH290" s="3"/>
      <c r="EVI290" s="3"/>
      <c r="EVJ290" s="3"/>
      <c r="EVK290" s="3"/>
      <c r="EVL290" s="3"/>
      <c r="EVM290" s="3"/>
      <c r="EVN290" s="3"/>
      <c r="EVO290" s="3"/>
      <c r="EVP290" s="3"/>
      <c r="EVQ290" s="3"/>
      <c r="EVR290" s="3"/>
      <c r="EVS290" s="3"/>
      <c r="EVT290" s="3"/>
      <c r="EVU290" s="3"/>
      <c r="EVV290" s="3"/>
      <c r="EVW290" s="3"/>
      <c r="EVX290" s="3"/>
      <c r="EVY290" s="3"/>
      <c r="EVZ290" s="3"/>
      <c r="EWA290" s="3"/>
      <c r="EWB290" s="3"/>
      <c r="EWC290" s="3"/>
      <c r="EWD290" s="3"/>
      <c r="EWE290" s="3"/>
      <c r="EWF290" s="3"/>
      <c r="EWG290" s="3"/>
      <c r="EWH290" s="3"/>
      <c r="EWI290" s="3"/>
      <c r="EWJ290" s="3"/>
      <c r="EWK290" s="3"/>
      <c r="EWL290" s="3"/>
      <c r="EWM290" s="3"/>
      <c r="EWN290" s="3"/>
      <c r="EWO290" s="3"/>
      <c r="EWP290" s="3"/>
      <c r="EWQ290" s="3"/>
      <c r="EWR290" s="3"/>
      <c r="EWS290" s="3"/>
      <c r="EWT290" s="3"/>
      <c r="EWU290" s="3"/>
      <c r="EWV290" s="3"/>
      <c r="EWW290" s="3"/>
      <c r="EWX290" s="3"/>
      <c r="EWY290" s="3"/>
      <c r="EWZ290" s="3"/>
      <c r="EXA290" s="3"/>
      <c r="EXB290" s="3"/>
      <c r="EXC290" s="3"/>
      <c r="EXD290" s="3"/>
      <c r="EXE290" s="3"/>
      <c r="EXF290" s="3"/>
      <c r="EXG290" s="3"/>
      <c r="EXH290" s="3"/>
      <c r="EXI290" s="3"/>
      <c r="EXJ290" s="3"/>
      <c r="EXK290" s="3"/>
      <c r="EXL290" s="3"/>
      <c r="EXM290" s="3"/>
      <c r="EXN290" s="3"/>
      <c r="EXO290" s="3"/>
      <c r="EXP290" s="3"/>
      <c r="EXQ290" s="3"/>
      <c r="EXR290" s="3"/>
      <c r="EXS290" s="3"/>
      <c r="EXT290" s="3"/>
      <c r="EXU290" s="3"/>
      <c r="EXV290" s="3"/>
      <c r="EXW290" s="3"/>
      <c r="EXX290" s="3"/>
      <c r="EXY290" s="3"/>
      <c r="EXZ290" s="3"/>
      <c r="EYA290" s="3"/>
      <c r="EYB290" s="3"/>
      <c r="EYC290" s="3"/>
      <c r="EYD290" s="3"/>
      <c r="EYE290" s="3"/>
      <c r="EYF290" s="3"/>
      <c r="EYG290" s="3"/>
      <c r="EYH290" s="3"/>
      <c r="EYI290" s="3"/>
      <c r="EYJ290" s="3"/>
      <c r="EYK290" s="3"/>
      <c r="EYL290" s="3"/>
      <c r="EYM290" s="3"/>
      <c r="EYN290" s="3"/>
      <c r="EYO290" s="3"/>
      <c r="EYP290" s="3"/>
      <c r="EYQ290" s="3"/>
      <c r="EYR290" s="3"/>
      <c r="EYS290" s="3"/>
      <c r="EYT290" s="3"/>
      <c r="EYU290" s="3"/>
      <c r="EYV290" s="3"/>
      <c r="EYW290" s="3"/>
      <c r="EYX290" s="3"/>
      <c r="EYY290" s="3"/>
      <c r="EYZ290" s="3"/>
      <c r="EZA290" s="3"/>
      <c r="EZB290" s="3"/>
      <c r="EZC290" s="3"/>
      <c r="EZD290" s="3"/>
      <c r="EZE290" s="3"/>
      <c r="EZF290" s="3"/>
      <c r="EZG290" s="3"/>
      <c r="EZH290" s="3"/>
      <c r="EZI290" s="3"/>
      <c r="EZJ290" s="3"/>
      <c r="EZK290" s="3"/>
      <c r="EZL290" s="3"/>
      <c r="EZM290" s="3"/>
      <c r="EZN290" s="3"/>
      <c r="EZO290" s="3"/>
      <c r="EZP290" s="3"/>
      <c r="EZQ290" s="3"/>
      <c r="EZR290" s="3"/>
      <c r="EZS290" s="3"/>
      <c r="EZT290" s="3"/>
      <c r="EZU290" s="3"/>
      <c r="EZV290" s="3"/>
      <c r="EZW290" s="3"/>
      <c r="EZX290" s="3"/>
      <c r="EZY290" s="3"/>
      <c r="EZZ290" s="3"/>
      <c r="FAA290" s="3"/>
      <c r="FAB290" s="3"/>
      <c r="FAC290" s="3"/>
      <c r="FAD290" s="3"/>
      <c r="FAE290" s="3"/>
      <c r="FAF290" s="3"/>
      <c r="FAG290" s="3"/>
      <c r="FAH290" s="3"/>
      <c r="FAI290" s="3"/>
      <c r="FAJ290" s="3"/>
      <c r="FAK290" s="3"/>
      <c r="FAL290" s="3"/>
      <c r="FAM290" s="3"/>
      <c r="FAN290" s="3"/>
      <c r="FAO290" s="3"/>
      <c r="FAP290" s="3"/>
      <c r="FAQ290" s="3"/>
      <c r="FAR290" s="3"/>
      <c r="FAS290" s="3"/>
      <c r="FAT290" s="3"/>
      <c r="FAU290" s="3"/>
      <c r="FAV290" s="3"/>
      <c r="FAW290" s="3"/>
      <c r="FAX290" s="3"/>
      <c r="FAY290" s="3"/>
      <c r="FAZ290" s="3"/>
      <c r="FBA290" s="3"/>
      <c r="FBB290" s="3"/>
      <c r="FBC290" s="3"/>
      <c r="FBD290" s="3"/>
      <c r="FBE290" s="3"/>
      <c r="FBF290" s="3"/>
      <c r="FBG290" s="3"/>
      <c r="FBH290" s="3"/>
      <c r="FBI290" s="3"/>
      <c r="FBJ290" s="3"/>
      <c r="FBK290" s="3"/>
      <c r="FBL290" s="3"/>
      <c r="FBM290" s="3"/>
      <c r="FBN290" s="3"/>
      <c r="FBO290" s="3"/>
      <c r="FBP290" s="3"/>
      <c r="FBQ290" s="3"/>
      <c r="FBR290" s="3"/>
      <c r="FBS290" s="3"/>
      <c r="FBT290" s="3"/>
      <c r="FBU290" s="3"/>
      <c r="FBV290" s="3"/>
      <c r="FBW290" s="3"/>
      <c r="FBX290" s="3"/>
      <c r="FBY290" s="3"/>
      <c r="FBZ290" s="3"/>
      <c r="FCA290" s="3"/>
      <c r="FCB290" s="3"/>
      <c r="FCC290" s="3"/>
      <c r="FCD290" s="3"/>
      <c r="FCE290" s="3"/>
      <c r="FCF290" s="3"/>
      <c r="FCG290" s="3"/>
      <c r="FCH290" s="3"/>
      <c r="FCI290" s="3"/>
      <c r="FCJ290" s="3"/>
      <c r="FCK290" s="3"/>
      <c r="FCL290" s="3"/>
      <c r="FCM290" s="3"/>
      <c r="FCN290" s="3"/>
      <c r="FCO290" s="3"/>
      <c r="FCP290" s="3"/>
      <c r="FCQ290" s="3"/>
      <c r="FCR290" s="3"/>
      <c r="FCS290" s="3"/>
      <c r="FCT290" s="3"/>
      <c r="FCU290" s="3"/>
      <c r="FCV290" s="3"/>
      <c r="FCW290" s="3"/>
      <c r="FCX290" s="3"/>
      <c r="FCY290" s="3"/>
      <c r="FCZ290" s="3"/>
      <c r="FDA290" s="3"/>
      <c r="FDB290" s="3"/>
      <c r="FDC290" s="3"/>
      <c r="FDD290" s="3"/>
      <c r="FDE290" s="3"/>
      <c r="FDF290" s="3"/>
      <c r="FDG290" s="3"/>
      <c r="FDH290" s="3"/>
      <c r="FDI290" s="3"/>
      <c r="FDJ290" s="3"/>
      <c r="FDK290" s="3"/>
      <c r="FDL290" s="3"/>
      <c r="FDM290" s="3"/>
      <c r="FDN290" s="3"/>
      <c r="FDO290" s="3"/>
      <c r="FDP290" s="3"/>
      <c r="FDQ290" s="3"/>
      <c r="FDR290" s="3"/>
      <c r="FDS290" s="3"/>
      <c r="FDT290" s="3"/>
      <c r="FDU290" s="3"/>
      <c r="FDV290" s="3"/>
      <c r="FDW290" s="3"/>
      <c r="FDX290" s="3"/>
      <c r="FDY290" s="3"/>
      <c r="FDZ290" s="3"/>
      <c r="FEA290" s="3"/>
      <c r="FEB290" s="3"/>
      <c r="FEC290" s="3"/>
      <c r="FED290" s="3"/>
      <c r="FEE290" s="3"/>
      <c r="FEF290" s="3"/>
      <c r="FEG290" s="3"/>
      <c r="FEH290" s="3"/>
      <c r="FEI290" s="3"/>
      <c r="FEJ290" s="3"/>
      <c r="FEK290" s="3"/>
      <c r="FEL290" s="3"/>
      <c r="FEM290" s="3"/>
      <c r="FEN290" s="3"/>
      <c r="FEO290" s="3"/>
      <c r="FEP290" s="3"/>
      <c r="FEQ290" s="3"/>
      <c r="FER290" s="3"/>
      <c r="FES290" s="3"/>
      <c r="FET290" s="3"/>
      <c r="FEU290" s="3"/>
      <c r="FEV290" s="3"/>
      <c r="FEW290" s="3"/>
      <c r="FEX290" s="3"/>
      <c r="FEY290" s="3"/>
      <c r="FEZ290" s="3"/>
      <c r="FFA290" s="3"/>
      <c r="FFB290" s="3"/>
      <c r="FFC290" s="3"/>
      <c r="FFD290" s="3"/>
      <c r="FFE290" s="3"/>
      <c r="FFF290" s="3"/>
      <c r="FFG290" s="3"/>
      <c r="FFH290" s="3"/>
      <c r="FFI290" s="3"/>
      <c r="FFJ290" s="3"/>
      <c r="FFK290" s="3"/>
      <c r="FFL290" s="3"/>
      <c r="FFM290" s="3"/>
      <c r="FFN290" s="3"/>
      <c r="FFO290" s="3"/>
      <c r="FFP290" s="3"/>
      <c r="FFQ290" s="3"/>
      <c r="FFR290" s="3"/>
      <c r="FFS290" s="3"/>
      <c r="FFT290" s="3"/>
      <c r="FFU290" s="3"/>
      <c r="FFV290" s="3"/>
      <c r="FFW290" s="3"/>
      <c r="FFX290" s="3"/>
      <c r="FFY290" s="3"/>
      <c r="FFZ290" s="3"/>
      <c r="FGA290" s="3"/>
      <c r="FGB290" s="3"/>
      <c r="FGC290" s="3"/>
      <c r="FGD290" s="3"/>
      <c r="FGE290" s="3"/>
      <c r="FGF290" s="3"/>
      <c r="FGG290" s="3"/>
      <c r="FGH290" s="3"/>
      <c r="FGI290" s="3"/>
      <c r="FGJ290" s="3"/>
      <c r="FGK290" s="3"/>
      <c r="FGL290" s="3"/>
      <c r="FGM290" s="3"/>
      <c r="FGN290" s="3"/>
      <c r="FGO290" s="3"/>
      <c r="FGP290" s="3"/>
      <c r="FGQ290" s="3"/>
      <c r="FGR290" s="3"/>
      <c r="FGS290" s="3"/>
      <c r="FGT290" s="3"/>
      <c r="FGU290" s="3"/>
      <c r="FGV290" s="3"/>
      <c r="FGW290" s="3"/>
      <c r="FGX290" s="3"/>
      <c r="FGY290" s="3"/>
      <c r="FGZ290" s="3"/>
      <c r="FHA290" s="3"/>
      <c r="FHB290" s="3"/>
      <c r="FHC290" s="3"/>
      <c r="FHD290" s="3"/>
      <c r="FHE290" s="3"/>
      <c r="FHF290" s="3"/>
      <c r="FHG290" s="3"/>
      <c r="FHH290" s="3"/>
      <c r="FHI290" s="3"/>
      <c r="FHJ290" s="3"/>
      <c r="FHK290" s="3"/>
      <c r="FHL290" s="3"/>
      <c r="FHM290" s="3"/>
      <c r="FHN290" s="3"/>
      <c r="FHO290" s="3"/>
      <c r="FHP290" s="3"/>
      <c r="FHQ290" s="3"/>
      <c r="FHR290" s="3"/>
      <c r="FHS290" s="3"/>
      <c r="FHT290" s="3"/>
      <c r="FHU290" s="3"/>
      <c r="FHV290" s="3"/>
      <c r="FHW290" s="3"/>
      <c r="FHX290" s="3"/>
      <c r="FHY290" s="3"/>
      <c r="FHZ290" s="3"/>
      <c r="FIA290" s="3"/>
      <c r="FIB290" s="3"/>
      <c r="FIC290" s="3"/>
      <c r="FID290" s="3"/>
      <c r="FIE290" s="3"/>
      <c r="FIF290" s="3"/>
      <c r="FIG290" s="3"/>
      <c r="FIH290" s="3"/>
      <c r="FII290" s="3"/>
      <c r="FIJ290" s="3"/>
      <c r="FIK290" s="3"/>
      <c r="FIL290" s="3"/>
      <c r="FIM290" s="3"/>
      <c r="FIN290" s="3"/>
      <c r="FIO290" s="3"/>
      <c r="FIP290" s="3"/>
      <c r="FIQ290" s="3"/>
      <c r="FIR290" s="3"/>
      <c r="FIS290" s="3"/>
      <c r="FIT290" s="3"/>
      <c r="FIU290" s="3"/>
      <c r="FIV290" s="3"/>
      <c r="FIW290" s="3"/>
      <c r="FIX290" s="3"/>
      <c r="FIY290" s="3"/>
      <c r="FIZ290" s="3"/>
      <c r="FJA290" s="3"/>
      <c r="FJB290" s="3"/>
      <c r="FJC290" s="3"/>
      <c r="FJD290" s="3"/>
      <c r="FJE290" s="3"/>
      <c r="FJF290" s="3"/>
      <c r="FJG290" s="3"/>
      <c r="FJH290" s="3"/>
      <c r="FJI290" s="3"/>
      <c r="FJJ290" s="3"/>
      <c r="FJK290" s="3"/>
      <c r="FJL290" s="3"/>
      <c r="FJM290" s="3"/>
      <c r="FJN290" s="3"/>
      <c r="FJO290" s="3"/>
      <c r="FJP290" s="3"/>
      <c r="FJQ290" s="3"/>
      <c r="FJR290" s="3"/>
      <c r="FJS290" s="3"/>
      <c r="FJT290" s="3"/>
      <c r="FJU290" s="3"/>
      <c r="FJV290" s="3"/>
      <c r="FJW290" s="3"/>
      <c r="FJX290" s="3"/>
      <c r="FJY290" s="3"/>
      <c r="FJZ290" s="3"/>
      <c r="FKA290" s="3"/>
      <c r="FKB290" s="3"/>
      <c r="FKC290" s="3"/>
      <c r="FKD290" s="3"/>
      <c r="FKE290" s="3"/>
      <c r="FKF290" s="3"/>
      <c r="FKG290" s="3"/>
      <c r="FKH290" s="3"/>
      <c r="FKI290" s="3"/>
      <c r="FKJ290" s="3"/>
      <c r="FKK290" s="3"/>
      <c r="FKL290" s="3"/>
      <c r="FKM290" s="3"/>
      <c r="FKN290" s="3"/>
      <c r="FKO290" s="3"/>
      <c r="FKP290" s="3"/>
      <c r="FKQ290" s="3"/>
      <c r="FKR290" s="3"/>
      <c r="FKS290" s="3"/>
      <c r="FKT290" s="3"/>
      <c r="FKU290" s="3"/>
      <c r="FKV290" s="3"/>
      <c r="FKW290" s="3"/>
      <c r="FKX290" s="3"/>
      <c r="FKY290" s="3"/>
      <c r="FKZ290" s="3"/>
      <c r="FLA290" s="3"/>
      <c r="FLB290" s="3"/>
      <c r="FLC290" s="3"/>
      <c r="FLD290" s="3"/>
      <c r="FLE290" s="3"/>
      <c r="FLF290" s="3"/>
      <c r="FLG290" s="3"/>
      <c r="FLH290" s="3"/>
      <c r="FLI290" s="3"/>
      <c r="FLJ290" s="3"/>
      <c r="FLK290" s="3"/>
      <c r="FLL290" s="3"/>
      <c r="FLM290" s="3"/>
      <c r="FLN290" s="3"/>
      <c r="FLO290" s="3"/>
      <c r="FLP290" s="3"/>
      <c r="FLQ290" s="3"/>
      <c r="FLR290" s="3"/>
      <c r="FLS290" s="3"/>
      <c r="FLT290" s="3"/>
      <c r="FLU290" s="3"/>
      <c r="FLV290" s="3"/>
      <c r="FLW290" s="3"/>
      <c r="FLX290" s="3"/>
      <c r="FLY290" s="3"/>
      <c r="FLZ290" s="3"/>
      <c r="FMA290" s="3"/>
      <c r="FMB290" s="3"/>
      <c r="FMC290" s="3"/>
      <c r="FMD290" s="3"/>
      <c r="FME290" s="3"/>
      <c r="FMF290" s="3"/>
      <c r="FMG290" s="3"/>
      <c r="FMH290" s="3"/>
      <c r="FMI290" s="3"/>
      <c r="FMJ290" s="3"/>
      <c r="FMK290" s="3"/>
      <c r="FML290" s="3"/>
      <c r="FMM290" s="3"/>
      <c r="FMN290" s="3"/>
      <c r="FMO290" s="3"/>
      <c r="FMP290" s="3"/>
      <c r="FMQ290" s="3"/>
      <c r="FMR290" s="3"/>
      <c r="FMS290" s="3"/>
      <c r="FMT290" s="3"/>
      <c r="FMU290" s="3"/>
      <c r="FMV290" s="3"/>
      <c r="FMW290" s="3"/>
      <c r="FMX290" s="3"/>
      <c r="FMY290" s="3"/>
      <c r="FMZ290" s="3"/>
      <c r="FNA290" s="3"/>
      <c r="FNB290" s="3"/>
      <c r="FNC290" s="3"/>
      <c r="FND290" s="3"/>
      <c r="FNE290" s="3"/>
      <c r="FNF290" s="3"/>
      <c r="FNG290" s="3"/>
      <c r="FNH290" s="3"/>
      <c r="FNI290" s="3"/>
      <c r="FNJ290" s="3"/>
      <c r="FNK290" s="3"/>
      <c r="FNL290" s="3"/>
      <c r="FNM290" s="3"/>
      <c r="FNN290" s="3"/>
      <c r="FNO290" s="3"/>
      <c r="FNP290" s="3"/>
      <c r="FNQ290" s="3"/>
      <c r="FNR290" s="3"/>
      <c r="FNS290" s="3"/>
      <c r="FNT290" s="3"/>
      <c r="FNU290" s="3"/>
      <c r="FNV290" s="3"/>
      <c r="FNW290" s="3"/>
      <c r="FNX290" s="3"/>
      <c r="FNY290" s="3"/>
      <c r="FNZ290" s="3"/>
      <c r="FOA290" s="3"/>
      <c r="FOB290" s="3"/>
      <c r="FOC290" s="3"/>
      <c r="FOD290" s="3"/>
      <c r="FOE290" s="3"/>
      <c r="FOF290" s="3"/>
      <c r="FOG290" s="3"/>
      <c r="FOH290" s="3"/>
      <c r="FOI290" s="3"/>
      <c r="FOJ290" s="3"/>
      <c r="FOK290" s="3"/>
      <c r="FOL290" s="3"/>
      <c r="FOM290" s="3"/>
      <c r="FON290" s="3"/>
      <c r="FOO290" s="3"/>
      <c r="FOP290" s="3"/>
      <c r="FOQ290" s="3"/>
      <c r="FOR290" s="3"/>
      <c r="FOS290" s="3"/>
      <c r="FOT290" s="3"/>
      <c r="FOU290" s="3"/>
      <c r="FOV290" s="3"/>
      <c r="FOW290" s="3"/>
      <c r="FOX290" s="3"/>
      <c r="FOY290" s="3"/>
      <c r="FOZ290" s="3"/>
      <c r="FPA290" s="3"/>
      <c r="FPB290" s="3"/>
      <c r="FPC290" s="3"/>
      <c r="FPD290" s="3"/>
      <c r="FPE290" s="3"/>
      <c r="FPF290" s="3"/>
      <c r="FPG290" s="3"/>
      <c r="FPH290" s="3"/>
      <c r="FPI290" s="3"/>
      <c r="FPJ290" s="3"/>
      <c r="FPK290" s="3"/>
      <c r="FPL290" s="3"/>
      <c r="FPM290" s="3"/>
      <c r="FPN290" s="3"/>
      <c r="FPO290" s="3"/>
      <c r="FPP290" s="3"/>
      <c r="FPQ290" s="3"/>
      <c r="FPR290" s="3"/>
      <c r="FPS290" s="3"/>
      <c r="FPT290" s="3"/>
      <c r="FPU290" s="3"/>
      <c r="FPV290" s="3"/>
      <c r="FPW290" s="3"/>
      <c r="FPX290" s="3"/>
      <c r="FPY290" s="3"/>
      <c r="FPZ290" s="3"/>
      <c r="FQA290" s="3"/>
      <c r="FQB290" s="3"/>
      <c r="FQC290" s="3"/>
      <c r="FQD290" s="3"/>
      <c r="FQE290" s="3"/>
      <c r="FQF290" s="3"/>
      <c r="FQG290" s="3"/>
      <c r="FQH290" s="3"/>
      <c r="FQI290" s="3"/>
      <c r="FQJ290" s="3"/>
      <c r="FQK290" s="3"/>
      <c r="FQL290" s="3"/>
      <c r="FQM290" s="3"/>
      <c r="FQN290" s="3"/>
      <c r="FQO290" s="3"/>
      <c r="FQP290" s="3"/>
      <c r="FQQ290" s="3"/>
      <c r="FQR290" s="3"/>
      <c r="FQS290" s="3"/>
      <c r="FQT290" s="3"/>
      <c r="FQU290" s="3"/>
      <c r="FQV290" s="3"/>
      <c r="FQW290" s="3"/>
      <c r="FQX290" s="3"/>
      <c r="FQY290" s="3"/>
      <c r="FQZ290" s="3"/>
      <c r="FRA290" s="3"/>
      <c r="FRB290" s="3"/>
      <c r="FRC290" s="3"/>
      <c r="FRD290" s="3"/>
      <c r="FRE290" s="3"/>
      <c r="FRF290" s="3"/>
      <c r="FRG290" s="3"/>
      <c r="FRH290" s="3"/>
      <c r="FRI290" s="3"/>
      <c r="FRJ290" s="3"/>
      <c r="FRK290" s="3"/>
      <c r="FRL290" s="3"/>
      <c r="FRM290" s="3"/>
      <c r="FRN290" s="3"/>
      <c r="FRO290" s="3"/>
      <c r="FRP290" s="3"/>
      <c r="FRQ290" s="3"/>
      <c r="FRR290" s="3"/>
      <c r="FRS290" s="3"/>
      <c r="FRT290" s="3"/>
      <c r="FRU290" s="3"/>
      <c r="FRV290" s="3"/>
      <c r="FRW290" s="3"/>
      <c r="FRX290" s="3"/>
      <c r="FRY290" s="3"/>
      <c r="FRZ290" s="3"/>
      <c r="FSA290" s="3"/>
      <c r="FSB290" s="3"/>
      <c r="FSC290" s="3"/>
      <c r="FSD290" s="3"/>
      <c r="FSE290" s="3"/>
      <c r="FSF290" s="3"/>
      <c r="FSG290" s="3"/>
      <c r="FSH290" s="3"/>
      <c r="FSI290" s="3"/>
      <c r="FSJ290" s="3"/>
      <c r="FSK290" s="3"/>
      <c r="FSL290" s="3"/>
      <c r="FSM290" s="3"/>
      <c r="FSN290" s="3"/>
      <c r="FSO290" s="3"/>
      <c r="FSP290" s="3"/>
      <c r="FSQ290" s="3"/>
      <c r="FSR290" s="3"/>
      <c r="FSS290" s="3"/>
      <c r="FST290" s="3"/>
      <c r="FSU290" s="3"/>
      <c r="FSV290" s="3"/>
      <c r="FSW290" s="3"/>
      <c r="FSX290" s="3"/>
      <c r="FSY290" s="3"/>
      <c r="FSZ290" s="3"/>
      <c r="FTA290" s="3"/>
      <c r="FTB290" s="3"/>
      <c r="FTC290" s="3"/>
      <c r="FTD290" s="3"/>
      <c r="FTE290" s="3"/>
      <c r="FTF290" s="3"/>
      <c r="FTG290" s="3"/>
      <c r="FTH290" s="3"/>
      <c r="FTI290" s="3"/>
      <c r="FTJ290" s="3"/>
      <c r="FTK290" s="3"/>
      <c r="FTL290" s="3"/>
      <c r="FTM290" s="3"/>
      <c r="FTN290" s="3"/>
      <c r="FTO290" s="3"/>
      <c r="FTP290" s="3"/>
      <c r="FTQ290" s="3"/>
      <c r="FTR290" s="3"/>
      <c r="FTS290" s="3"/>
      <c r="FTT290" s="3"/>
      <c r="FTU290" s="3"/>
      <c r="FTV290" s="3"/>
      <c r="FTW290" s="3"/>
      <c r="FTX290" s="3"/>
      <c r="FTY290" s="3"/>
      <c r="FTZ290" s="3"/>
      <c r="FUA290" s="3"/>
      <c r="FUB290" s="3"/>
      <c r="FUC290" s="3"/>
      <c r="FUD290" s="3"/>
      <c r="FUE290" s="3"/>
      <c r="FUF290" s="3"/>
      <c r="FUG290" s="3"/>
      <c r="FUH290" s="3"/>
      <c r="FUI290" s="3"/>
      <c r="FUJ290" s="3"/>
      <c r="FUK290" s="3"/>
      <c r="FUL290" s="3"/>
      <c r="FUM290" s="3"/>
      <c r="FUN290" s="3"/>
      <c r="FUO290" s="3"/>
      <c r="FUP290" s="3"/>
      <c r="FUQ290" s="3"/>
      <c r="FUR290" s="3"/>
      <c r="FUS290" s="3"/>
      <c r="FUT290" s="3"/>
      <c r="FUU290" s="3"/>
      <c r="FUV290" s="3"/>
      <c r="FUW290" s="3"/>
      <c r="FUX290" s="3"/>
      <c r="FUY290" s="3"/>
      <c r="FUZ290" s="3"/>
      <c r="FVA290" s="3"/>
      <c r="FVB290" s="3"/>
      <c r="FVC290" s="3"/>
      <c r="FVD290" s="3"/>
      <c r="FVE290" s="3"/>
      <c r="FVF290" s="3"/>
      <c r="FVG290" s="3"/>
      <c r="FVH290" s="3"/>
      <c r="FVI290" s="3"/>
      <c r="FVJ290" s="3"/>
      <c r="FVK290" s="3"/>
      <c r="FVL290" s="3"/>
      <c r="FVM290" s="3"/>
      <c r="FVN290" s="3"/>
      <c r="FVO290" s="3"/>
      <c r="FVP290" s="3"/>
      <c r="FVQ290" s="3"/>
      <c r="FVR290" s="3"/>
      <c r="FVS290" s="3"/>
      <c r="FVT290" s="3"/>
      <c r="FVU290" s="3"/>
      <c r="FVV290" s="3"/>
      <c r="FVW290" s="3"/>
      <c r="FVX290" s="3"/>
      <c r="FVY290" s="3"/>
      <c r="FVZ290" s="3"/>
      <c r="FWA290" s="3"/>
      <c r="FWB290" s="3"/>
      <c r="FWC290" s="3"/>
      <c r="FWD290" s="3"/>
      <c r="FWE290" s="3"/>
      <c r="FWF290" s="3"/>
      <c r="FWG290" s="3"/>
      <c r="FWH290" s="3"/>
      <c r="FWI290" s="3"/>
      <c r="FWJ290" s="3"/>
      <c r="FWK290" s="3"/>
      <c r="FWL290" s="3"/>
      <c r="FWM290" s="3"/>
      <c r="FWN290" s="3"/>
      <c r="FWO290" s="3"/>
      <c r="FWP290" s="3"/>
      <c r="FWQ290" s="3"/>
      <c r="FWR290" s="3"/>
      <c r="FWS290" s="3"/>
      <c r="FWT290" s="3"/>
      <c r="FWU290" s="3"/>
      <c r="FWV290" s="3"/>
      <c r="FWW290" s="3"/>
      <c r="FWX290" s="3"/>
      <c r="FWY290" s="3"/>
      <c r="FWZ290" s="3"/>
      <c r="FXA290" s="3"/>
      <c r="FXB290" s="3"/>
      <c r="FXC290" s="3"/>
      <c r="FXD290" s="3"/>
      <c r="FXE290" s="3"/>
      <c r="FXF290" s="3"/>
      <c r="FXG290" s="3"/>
      <c r="FXH290" s="3"/>
      <c r="FXI290" s="3"/>
      <c r="FXJ290" s="3"/>
      <c r="FXK290" s="3"/>
      <c r="FXL290" s="3"/>
      <c r="FXM290" s="3"/>
      <c r="FXN290" s="3"/>
      <c r="FXO290" s="3"/>
      <c r="FXP290" s="3"/>
      <c r="FXQ290" s="3"/>
      <c r="FXR290" s="3"/>
      <c r="FXS290" s="3"/>
      <c r="FXT290" s="3"/>
      <c r="FXU290" s="3"/>
      <c r="FXV290" s="3"/>
      <c r="FXW290" s="3"/>
      <c r="FXX290" s="3"/>
      <c r="FXY290" s="3"/>
      <c r="FXZ290" s="3"/>
      <c r="FYA290" s="3"/>
      <c r="FYB290" s="3"/>
      <c r="FYC290" s="3"/>
      <c r="FYD290" s="3"/>
      <c r="FYE290" s="3"/>
      <c r="FYF290" s="3"/>
      <c r="FYG290" s="3"/>
      <c r="FYH290" s="3"/>
      <c r="FYI290" s="3"/>
      <c r="FYJ290" s="3"/>
      <c r="FYK290" s="3"/>
      <c r="FYL290" s="3"/>
      <c r="FYM290" s="3"/>
      <c r="FYN290" s="3"/>
      <c r="FYO290" s="3"/>
      <c r="FYP290" s="3"/>
      <c r="FYQ290" s="3"/>
      <c r="FYR290" s="3"/>
      <c r="FYS290" s="3"/>
      <c r="FYT290" s="3"/>
      <c r="FYU290" s="3"/>
      <c r="FYV290" s="3"/>
      <c r="FYW290" s="3"/>
      <c r="FYX290" s="3"/>
      <c r="FYY290" s="3"/>
      <c r="FYZ290" s="3"/>
      <c r="FZA290" s="3"/>
      <c r="FZB290" s="3"/>
      <c r="FZC290" s="3"/>
      <c r="FZD290" s="3"/>
      <c r="FZE290" s="3"/>
      <c r="FZF290" s="3"/>
      <c r="FZG290" s="3"/>
      <c r="FZH290" s="3"/>
      <c r="FZI290" s="3"/>
      <c r="FZJ290" s="3"/>
      <c r="FZK290" s="3"/>
      <c r="FZL290" s="3"/>
      <c r="FZM290" s="3"/>
      <c r="FZN290" s="3"/>
      <c r="FZO290" s="3"/>
      <c r="FZP290" s="3"/>
      <c r="FZQ290" s="3"/>
      <c r="FZR290" s="3"/>
      <c r="FZS290" s="3"/>
      <c r="FZT290" s="3"/>
      <c r="FZU290" s="3"/>
      <c r="FZV290" s="3"/>
      <c r="FZW290" s="3"/>
      <c r="FZX290" s="3"/>
      <c r="FZY290" s="3"/>
      <c r="FZZ290" s="3"/>
      <c r="GAA290" s="3"/>
      <c r="GAB290" s="3"/>
      <c r="GAC290" s="3"/>
      <c r="GAD290" s="3"/>
      <c r="GAE290" s="3"/>
      <c r="GAF290" s="3"/>
      <c r="GAG290" s="3"/>
      <c r="GAH290" s="3"/>
      <c r="GAI290" s="3"/>
      <c r="GAJ290" s="3"/>
      <c r="GAK290" s="3"/>
      <c r="GAL290" s="3"/>
      <c r="GAM290" s="3"/>
      <c r="GAN290" s="3"/>
      <c r="GAO290" s="3"/>
      <c r="GAP290" s="3"/>
      <c r="GAQ290" s="3"/>
      <c r="GAR290" s="3"/>
      <c r="GAS290" s="3"/>
      <c r="GAT290" s="3"/>
      <c r="GAU290" s="3"/>
      <c r="GAV290" s="3"/>
      <c r="GAW290" s="3"/>
      <c r="GAX290" s="3"/>
      <c r="GAY290" s="3"/>
      <c r="GAZ290" s="3"/>
      <c r="GBA290" s="3"/>
      <c r="GBB290" s="3"/>
      <c r="GBC290" s="3"/>
      <c r="GBD290" s="3"/>
      <c r="GBE290" s="3"/>
      <c r="GBF290" s="3"/>
      <c r="GBG290" s="3"/>
      <c r="GBH290" s="3"/>
      <c r="GBI290" s="3"/>
      <c r="GBJ290" s="3"/>
      <c r="GBK290" s="3"/>
      <c r="GBL290" s="3"/>
      <c r="GBM290" s="3"/>
      <c r="GBN290" s="3"/>
      <c r="GBO290" s="3"/>
      <c r="GBP290" s="3"/>
      <c r="GBQ290" s="3"/>
      <c r="GBR290" s="3"/>
      <c r="GBS290" s="3"/>
      <c r="GBT290" s="3"/>
      <c r="GBU290" s="3"/>
      <c r="GBV290" s="3"/>
      <c r="GBW290" s="3"/>
      <c r="GBX290" s="3"/>
      <c r="GBY290" s="3"/>
      <c r="GBZ290" s="3"/>
      <c r="GCA290" s="3"/>
      <c r="GCB290" s="3"/>
      <c r="GCC290" s="3"/>
      <c r="GCD290" s="3"/>
      <c r="GCE290" s="3"/>
      <c r="GCF290" s="3"/>
      <c r="GCG290" s="3"/>
      <c r="GCH290" s="3"/>
      <c r="GCI290" s="3"/>
      <c r="GCJ290" s="3"/>
      <c r="GCK290" s="3"/>
      <c r="GCL290" s="3"/>
      <c r="GCM290" s="3"/>
      <c r="GCN290" s="3"/>
      <c r="GCO290" s="3"/>
      <c r="GCP290" s="3"/>
      <c r="GCQ290" s="3"/>
      <c r="GCR290" s="3"/>
      <c r="GCS290" s="3"/>
      <c r="GCT290" s="3"/>
      <c r="GCU290" s="3"/>
      <c r="GCV290" s="3"/>
      <c r="GCW290" s="3"/>
      <c r="GCX290" s="3"/>
      <c r="GCY290" s="3"/>
      <c r="GCZ290" s="3"/>
      <c r="GDA290" s="3"/>
      <c r="GDB290" s="3"/>
      <c r="GDC290" s="3"/>
      <c r="GDD290" s="3"/>
      <c r="GDE290" s="3"/>
      <c r="GDF290" s="3"/>
      <c r="GDG290" s="3"/>
      <c r="GDH290" s="3"/>
      <c r="GDI290" s="3"/>
      <c r="GDJ290" s="3"/>
      <c r="GDK290" s="3"/>
      <c r="GDL290" s="3"/>
      <c r="GDM290" s="3"/>
      <c r="GDN290" s="3"/>
      <c r="GDO290" s="3"/>
      <c r="GDP290" s="3"/>
      <c r="GDQ290" s="3"/>
      <c r="GDR290" s="3"/>
      <c r="GDS290" s="3"/>
      <c r="GDT290" s="3"/>
      <c r="GDU290" s="3"/>
      <c r="GDV290" s="3"/>
      <c r="GDW290" s="3"/>
      <c r="GDX290" s="3"/>
      <c r="GDY290" s="3"/>
      <c r="GDZ290" s="3"/>
      <c r="GEA290" s="3"/>
      <c r="GEB290" s="3"/>
      <c r="GEC290" s="3"/>
      <c r="GED290" s="3"/>
      <c r="GEE290" s="3"/>
      <c r="GEF290" s="3"/>
      <c r="GEG290" s="3"/>
      <c r="GEH290" s="3"/>
      <c r="GEI290" s="3"/>
      <c r="GEJ290" s="3"/>
      <c r="GEK290" s="3"/>
      <c r="GEL290" s="3"/>
      <c r="GEM290" s="3"/>
      <c r="GEN290" s="3"/>
      <c r="GEO290" s="3"/>
      <c r="GEP290" s="3"/>
      <c r="GEQ290" s="3"/>
      <c r="GER290" s="3"/>
      <c r="GES290" s="3"/>
      <c r="GET290" s="3"/>
      <c r="GEU290" s="3"/>
      <c r="GEV290" s="3"/>
      <c r="GEW290" s="3"/>
      <c r="GEX290" s="3"/>
      <c r="GEY290" s="3"/>
      <c r="GEZ290" s="3"/>
      <c r="GFA290" s="3"/>
      <c r="GFB290" s="3"/>
      <c r="GFC290" s="3"/>
      <c r="GFD290" s="3"/>
      <c r="GFE290" s="3"/>
      <c r="GFF290" s="3"/>
      <c r="GFG290" s="3"/>
      <c r="GFH290" s="3"/>
      <c r="GFI290" s="3"/>
      <c r="GFJ290" s="3"/>
      <c r="GFK290" s="3"/>
      <c r="GFL290" s="3"/>
      <c r="GFM290" s="3"/>
      <c r="GFN290" s="3"/>
      <c r="GFO290" s="3"/>
      <c r="GFP290" s="3"/>
      <c r="GFQ290" s="3"/>
      <c r="GFR290" s="3"/>
      <c r="GFS290" s="3"/>
      <c r="GFT290" s="3"/>
      <c r="GFU290" s="3"/>
      <c r="GFV290" s="3"/>
      <c r="GFW290" s="3"/>
      <c r="GFX290" s="3"/>
      <c r="GFY290" s="3"/>
      <c r="GFZ290" s="3"/>
      <c r="GGA290" s="3"/>
      <c r="GGB290" s="3"/>
      <c r="GGC290" s="3"/>
      <c r="GGD290" s="3"/>
      <c r="GGE290" s="3"/>
      <c r="GGF290" s="3"/>
      <c r="GGG290" s="3"/>
      <c r="GGH290" s="3"/>
      <c r="GGI290" s="3"/>
      <c r="GGJ290" s="3"/>
      <c r="GGK290" s="3"/>
      <c r="GGL290" s="3"/>
      <c r="GGM290" s="3"/>
      <c r="GGN290" s="3"/>
      <c r="GGO290" s="3"/>
      <c r="GGP290" s="3"/>
      <c r="GGQ290" s="3"/>
      <c r="GGR290" s="3"/>
      <c r="GGS290" s="3"/>
      <c r="GGT290" s="3"/>
      <c r="GGU290" s="3"/>
      <c r="GGV290" s="3"/>
      <c r="GGW290" s="3"/>
      <c r="GGX290" s="3"/>
      <c r="GGY290" s="3"/>
      <c r="GGZ290" s="3"/>
      <c r="GHA290" s="3"/>
      <c r="GHB290" s="3"/>
      <c r="GHC290" s="3"/>
      <c r="GHD290" s="3"/>
      <c r="GHE290" s="3"/>
      <c r="GHF290" s="3"/>
      <c r="GHG290" s="3"/>
      <c r="GHH290" s="3"/>
      <c r="GHI290" s="3"/>
      <c r="GHJ290" s="3"/>
      <c r="GHK290" s="3"/>
      <c r="GHL290" s="3"/>
      <c r="GHM290" s="3"/>
      <c r="GHN290" s="3"/>
      <c r="GHO290" s="3"/>
      <c r="GHP290" s="3"/>
      <c r="GHQ290" s="3"/>
      <c r="GHR290" s="3"/>
      <c r="GHS290" s="3"/>
      <c r="GHT290" s="3"/>
      <c r="GHU290" s="3"/>
      <c r="GHV290" s="3"/>
      <c r="GHW290" s="3"/>
      <c r="GHX290" s="3"/>
      <c r="GHY290" s="3"/>
      <c r="GHZ290" s="3"/>
      <c r="GIA290" s="3"/>
      <c r="GIB290" s="3"/>
      <c r="GIC290" s="3"/>
      <c r="GID290" s="3"/>
      <c r="GIE290" s="3"/>
      <c r="GIF290" s="3"/>
      <c r="GIG290" s="3"/>
      <c r="GIH290" s="3"/>
      <c r="GII290" s="3"/>
      <c r="GIJ290" s="3"/>
      <c r="GIK290" s="3"/>
      <c r="GIL290" s="3"/>
      <c r="GIM290" s="3"/>
      <c r="GIN290" s="3"/>
      <c r="GIO290" s="3"/>
      <c r="GIP290" s="3"/>
      <c r="GIQ290" s="3"/>
      <c r="GIR290" s="3"/>
      <c r="GIS290" s="3"/>
      <c r="GIT290" s="3"/>
      <c r="GIU290" s="3"/>
      <c r="GIV290" s="3"/>
      <c r="GIW290" s="3"/>
      <c r="GIX290" s="3"/>
      <c r="GIY290" s="3"/>
      <c r="GIZ290" s="3"/>
      <c r="GJA290" s="3"/>
      <c r="GJB290" s="3"/>
      <c r="GJC290" s="3"/>
      <c r="GJD290" s="3"/>
      <c r="GJE290" s="3"/>
      <c r="GJF290" s="3"/>
      <c r="GJG290" s="3"/>
      <c r="GJH290" s="3"/>
      <c r="GJI290" s="3"/>
      <c r="GJJ290" s="3"/>
      <c r="GJK290" s="3"/>
      <c r="GJL290" s="3"/>
      <c r="GJM290" s="3"/>
      <c r="GJN290" s="3"/>
      <c r="GJO290" s="3"/>
      <c r="GJP290" s="3"/>
      <c r="GJQ290" s="3"/>
      <c r="GJR290" s="3"/>
      <c r="GJS290" s="3"/>
      <c r="GJT290" s="3"/>
      <c r="GJU290" s="3"/>
      <c r="GJV290" s="3"/>
      <c r="GJW290" s="3"/>
      <c r="GJX290" s="3"/>
      <c r="GJY290" s="3"/>
      <c r="GJZ290" s="3"/>
      <c r="GKA290" s="3"/>
      <c r="GKB290" s="3"/>
      <c r="GKC290" s="3"/>
      <c r="GKD290" s="3"/>
      <c r="GKE290" s="3"/>
      <c r="GKF290" s="3"/>
      <c r="GKG290" s="3"/>
      <c r="GKH290" s="3"/>
      <c r="GKI290" s="3"/>
      <c r="GKJ290" s="3"/>
      <c r="GKK290" s="3"/>
      <c r="GKL290" s="3"/>
      <c r="GKM290" s="3"/>
      <c r="GKN290" s="3"/>
      <c r="GKO290" s="3"/>
      <c r="GKP290" s="3"/>
      <c r="GKQ290" s="3"/>
      <c r="GKR290" s="3"/>
      <c r="GKS290" s="3"/>
      <c r="GKT290" s="3"/>
      <c r="GKU290" s="3"/>
      <c r="GKV290" s="3"/>
      <c r="GKW290" s="3"/>
      <c r="GKX290" s="3"/>
      <c r="GKY290" s="3"/>
      <c r="GKZ290" s="3"/>
      <c r="GLA290" s="3"/>
      <c r="GLB290" s="3"/>
      <c r="GLC290" s="3"/>
      <c r="GLD290" s="3"/>
      <c r="GLE290" s="3"/>
      <c r="GLF290" s="3"/>
      <c r="GLG290" s="3"/>
      <c r="GLH290" s="3"/>
      <c r="GLI290" s="3"/>
      <c r="GLJ290" s="3"/>
      <c r="GLK290" s="3"/>
      <c r="GLL290" s="3"/>
      <c r="GLM290" s="3"/>
      <c r="GLN290" s="3"/>
      <c r="GLO290" s="3"/>
      <c r="GLP290" s="3"/>
      <c r="GLQ290" s="3"/>
      <c r="GLR290" s="3"/>
      <c r="GLS290" s="3"/>
      <c r="GLT290" s="3"/>
      <c r="GLU290" s="3"/>
      <c r="GLV290" s="3"/>
      <c r="GLW290" s="3"/>
      <c r="GLX290" s="3"/>
      <c r="GLY290" s="3"/>
      <c r="GLZ290" s="3"/>
      <c r="GMA290" s="3"/>
      <c r="GMB290" s="3"/>
      <c r="GMC290" s="3"/>
      <c r="GMD290" s="3"/>
      <c r="GME290" s="3"/>
      <c r="GMF290" s="3"/>
      <c r="GMG290" s="3"/>
      <c r="GMH290" s="3"/>
      <c r="GMI290" s="3"/>
      <c r="GMJ290" s="3"/>
      <c r="GMK290" s="3"/>
      <c r="GML290" s="3"/>
      <c r="GMM290" s="3"/>
      <c r="GMN290" s="3"/>
      <c r="GMO290" s="3"/>
      <c r="GMP290" s="3"/>
      <c r="GMQ290" s="3"/>
      <c r="GMR290" s="3"/>
      <c r="GMS290" s="3"/>
      <c r="GMT290" s="3"/>
      <c r="GMU290" s="3"/>
      <c r="GMV290" s="3"/>
      <c r="GMW290" s="3"/>
      <c r="GMX290" s="3"/>
      <c r="GMY290" s="3"/>
      <c r="GMZ290" s="3"/>
      <c r="GNA290" s="3"/>
      <c r="GNB290" s="3"/>
      <c r="GNC290" s="3"/>
      <c r="GND290" s="3"/>
      <c r="GNE290" s="3"/>
      <c r="GNF290" s="3"/>
      <c r="GNG290" s="3"/>
      <c r="GNH290" s="3"/>
      <c r="GNI290" s="3"/>
      <c r="GNJ290" s="3"/>
      <c r="GNK290" s="3"/>
      <c r="GNL290" s="3"/>
      <c r="GNM290" s="3"/>
      <c r="GNN290" s="3"/>
      <c r="GNO290" s="3"/>
      <c r="GNP290" s="3"/>
      <c r="GNQ290" s="3"/>
      <c r="GNR290" s="3"/>
      <c r="GNS290" s="3"/>
      <c r="GNT290" s="3"/>
      <c r="GNU290" s="3"/>
      <c r="GNV290" s="3"/>
      <c r="GNW290" s="3"/>
      <c r="GNX290" s="3"/>
      <c r="GNY290" s="3"/>
      <c r="GNZ290" s="3"/>
      <c r="GOA290" s="3"/>
      <c r="GOB290" s="3"/>
      <c r="GOC290" s="3"/>
      <c r="GOD290" s="3"/>
      <c r="GOE290" s="3"/>
      <c r="GOF290" s="3"/>
      <c r="GOG290" s="3"/>
      <c r="GOH290" s="3"/>
      <c r="GOI290" s="3"/>
      <c r="GOJ290" s="3"/>
      <c r="GOK290" s="3"/>
      <c r="GOL290" s="3"/>
      <c r="GOM290" s="3"/>
      <c r="GON290" s="3"/>
      <c r="GOO290" s="3"/>
      <c r="GOP290" s="3"/>
      <c r="GOQ290" s="3"/>
      <c r="GOR290" s="3"/>
      <c r="GOS290" s="3"/>
      <c r="GOT290" s="3"/>
      <c r="GOU290" s="3"/>
      <c r="GOV290" s="3"/>
      <c r="GOW290" s="3"/>
      <c r="GOX290" s="3"/>
      <c r="GOY290" s="3"/>
      <c r="GOZ290" s="3"/>
      <c r="GPA290" s="3"/>
      <c r="GPB290" s="3"/>
      <c r="GPC290" s="3"/>
      <c r="GPD290" s="3"/>
      <c r="GPE290" s="3"/>
      <c r="GPF290" s="3"/>
      <c r="GPG290" s="3"/>
      <c r="GPH290" s="3"/>
      <c r="GPI290" s="3"/>
      <c r="GPJ290" s="3"/>
      <c r="GPK290" s="3"/>
      <c r="GPL290" s="3"/>
      <c r="GPM290" s="3"/>
      <c r="GPN290" s="3"/>
      <c r="GPO290" s="3"/>
      <c r="GPP290" s="3"/>
      <c r="GPQ290" s="3"/>
      <c r="GPR290" s="3"/>
      <c r="GPS290" s="3"/>
      <c r="GPT290" s="3"/>
      <c r="GPU290" s="3"/>
      <c r="GPV290" s="3"/>
      <c r="GPW290" s="3"/>
      <c r="GPX290" s="3"/>
      <c r="GPY290" s="3"/>
      <c r="GPZ290" s="3"/>
      <c r="GQA290" s="3"/>
      <c r="GQB290" s="3"/>
      <c r="GQC290" s="3"/>
      <c r="GQD290" s="3"/>
      <c r="GQE290" s="3"/>
      <c r="GQF290" s="3"/>
      <c r="GQG290" s="3"/>
      <c r="GQH290" s="3"/>
      <c r="GQI290" s="3"/>
      <c r="GQJ290" s="3"/>
      <c r="GQK290" s="3"/>
      <c r="GQL290" s="3"/>
      <c r="GQM290" s="3"/>
      <c r="GQN290" s="3"/>
      <c r="GQO290" s="3"/>
      <c r="GQP290" s="3"/>
      <c r="GQQ290" s="3"/>
      <c r="GQR290" s="3"/>
      <c r="GQS290" s="3"/>
      <c r="GQT290" s="3"/>
      <c r="GQU290" s="3"/>
      <c r="GQV290" s="3"/>
      <c r="GQW290" s="3"/>
      <c r="GQX290" s="3"/>
      <c r="GQY290" s="3"/>
      <c r="GQZ290" s="3"/>
      <c r="GRA290" s="3"/>
      <c r="GRB290" s="3"/>
      <c r="GRC290" s="3"/>
      <c r="GRD290" s="3"/>
      <c r="GRE290" s="3"/>
      <c r="GRF290" s="3"/>
      <c r="GRG290" s="3"/>
      <c r="GRH290" s="3"/>
      <c r="GRI290" s="3"/>
      <c r="GRJ290" s="3"/>
      <c r="GRK290" s="3"/>
      <c r="GRL290" s="3"/>
      <c r="GRM290" s="3"/>
      <c r="GRN290" s="3"/>
      <c r="GRO290" s="3"/>
      <c r="GRP290" s="3"/>
      <c r="GRQ290" s="3"/>
      <c r="GRR290" s="3"/>
      <c r="GRS290" s="3"/>
      <c r="GRT290" s="3"/>
      <c r="GRU290" s="3"/>
      <c r="GRV290" s="3"/>
      <c r="GRW290" s="3"/>
      <c r="GRX290" s="3"/>
      <c r="GRY290" s="3"/>
      <c r="GRZ290" s="3"/>
      <c r="GSA290" s="3"/>
      <c r="GSB290" s="3"/>
      <c r="GSC290" s="3"/>
      <c r="GSD290" s="3"/>
      <c r="GSE290" s="3"/>
      <c r="GSF290" s="3"/>
      <c r="GSG290" s="3"/>
      <c r="GSH290" s="3"/>
      <c r="GSI290" s="3"/>
      <c r="GSJ290" s="3"/>
      <c r="GSK290" s="3"/>
      <c r="GSL290" s="3"/>
      <c r="GSM290" s="3"/>
      <c r="GSN290" s="3"/>
      <c r="GSO290" s="3"/>
      <c r="GSP290" s="3"/>
      <c r="GSQ290" s="3"/>
      <c r="GSR290" s="3"/>
      <c r="GSS290" s="3"/>
      <c r="GST290" s="3"/>
      <c r="GSU290" s="3"/>
      <c r="GSV290" s="3"/>
      <c r="GSW290" s="3"/>
      <c r="GSX290" s="3"/>
      <c r="GSY290" s="3"/>
      <c r="GSZ290" s="3"/>
      <c r="GTA290" s="3"/>
      <c r="GTB290" s="3"/>
      <c r="GTC290" s="3"/>
      <c r="GTD290" s="3"/>
      <c r="GTE290" s="3"/>
      <c r="GTF290" s="3"/>
      <c r="GTG290" s="3"/>
      <c r="GTH290" s="3"/>
      <c r="GTI290" s="3"/>
      <c r="GTJ290" s="3"/>
      <c r="GTK290" s="3"/>
      <c r="GTL290" s="3"/>
      <c r="GTM290" s="3"/>
      <c r="GTN290" s="3"/>
      <c r="GTO290" s="3"/>
      <c r="GTP290" s="3"/>
      <c r="GTQ290" s="3"/>
      <c r="GTR290" s="3"/>
      <c r="GTS290" s="3"/>
      <c r="GTT290" s="3"/>
      <c r="GTU290" s="3"/>
      <c r="GTV290" s="3"/>
      <c r="GTW290" s="3"/>
      <c r="GTX290" s="3"/>
      <c r="GTY290" s="3"/>
      <c r="GTZ290" s="3"/>
      <c r="GUA290" s="3"/>
      <c r="GUB290" s="3"/>
      <c r="GUC290" s="3"/>
      <c r="GUD290" s="3"/>
      <c r="GUE290" s="3"/>
      <c r="GUF290" s="3"/>
      <c r="GUG290" s="3"/>
      <c r="GUH290" s="3"/>
      <c r="GUI290" s="3"/>
      <c r="GUJ290" s="3"/>
      <c r="GUK290" s="3"/>
      <c r="GUL290" s="3"/>
      <c r="GUM290" s="3"/>
      <c r="GUN290" s="3"/>
      <c r="GUO290" s="3"/>
      <c r="GUP290" s="3"/>
      <c r="GUQ290" s="3"/>
      <c r="GUR290" s="3"/>
      <c r="GUS290" s="3"/>
      <c r="GUT290" s="3"/>
      <c r="GUU290" s="3"/>
      <c r="GUV290" s="3"/>
      <c r="GUW290" s="3"/>
      <c r="GUX290" s="3"/>
      <c r="GUY290" s="3"/>
      <c r="GUZ290" s="3"/>
      <c r="GVA290" s="3"/>
      <c r="GVB290" s="3"/>
      <c r="GVC290" s="3"/>
      <c r="GVD290" s="3"/>
      <c r="GVE290" s="3"/>
      <c r="GVF290" s="3"/>
      <c r="GVG290" s="3"/>
      <c r="GVH290" s="3"/>
      <c r="GVI290" s="3"/>
      <c r="GVJ290" s="3"/>
      <c r="GVK290" s="3"/>
      <c r="GVL290" s="3"/>
      <c r="GVM290" s="3"/>
      <c r="GVN290" s="3"/>
      <c r="GVO290" s="3"/>
      <c r="GVP290" s="3"/>
      <c r="GVQ290" s="3"/>
      <c r="GVR290" s="3"/>
      <c r="GVS290" s="3"/>
      <c r="GVT290" s="3"/>
      <c r="GVU290" s="3"/>
      <c r="GVV290" s="3"/>
      <c r="GVW290" s="3"/>
      <c r="GVX290" s="3"/>
      <c r="GVY290" s="3"/>
      <c r="GVZ290" s="3"/>
      <c r="GWA290" s="3"/>
      <c r="GWB290" s="3"/>
      <c r="GWC290" s="3"/>
      <c r="GWD290" s="3"/>
      <c r="GWE290" s="3"/>
      <c r="GWF290" s="3"/>
      <c r="GWG290" s="3"/>
      <c r="GWH290" s="3"/>
      <c r="GWI290" s="3"/>
      <c r="GWJ290" s="3"/>
      <c r="GWK290" s="3"/>
      <c r="GWL290" s="3"/>
      <c r="GWM290" s="3"/>
      <c r="GWN290" s="3"/>
      <c r="GWO290" s="3"/>
      <c r="GWP290" s="3"/>
      <c r="GWQ290" s="3"/>
      <c r="GWR290" s="3"/>
      <c r="GWS290" s="3"/>
      <c r="GWT290" s="3"/>
      <c r="GWU290" s="3"/>
      <c r="GWV290" s="3"/>
      <c r="GWW290" s="3"/>
      <c r="GWX290" s="3"/>
      <c r="GWY290" s="3"/>
      <c r="GWZ290" s="3"/>
      <c r="GXA290" s="3"/>
      <c r="GXB290" s="3"/>
      <c r="GXC290" s="3"/>
      <c r="GXD290" s="3"/>
      <c r="GXE290" s="3"/>
      <c r="GXF290" s="3"/>
      <c r="GXG290" s="3"/>
      <c r="GXH290" s="3"/>
      <c r="GXI290" s="3"/>
      <c r="GXJ290" s="3"/>
      <c r="GXK290" s="3"/>
      <c r="GXL290" s="3"/>
      <c r="GXM290" s="3"/>
      <c r="GXN290" s="3"/>
      <c r="GXO290" s="3"/>
      <c r="GXP290" s="3"/>
      <c r="GXQ290" s="3"/>
      <c r="GXR290" s="3"/>
      <c r="GXS290" s="3"/>
      <c r="GXT290" s="3"/>
      <c r="GXU290" s="3"/>
      <c r="GXV290" s="3"/>
      <c r="GXW290" s="3"/>
      <c r="GXX290" s="3"/>
      <c r="GXY290" s="3"/>
      <c r="GXZ290" s="3"/>
      <c r="GYA290" s="3"/>
      <c r="GYB290" s="3"/>
      <c r="GYC290" s="3"/>
      <c r="GYD290" s="3"/>
      <c r="GYE290" s="3"/>
      <c r="GYF290" s="3"/>
      <c r="GYG290" s="3"/>
      <c r="GYH290" s="3"/>
      <c r="GYI290" s="3"/>
      <c r="GYJ290" s="3"/>
      <c r="GYK290" s="3"/>
      <c r="GYL290" s="3"/>
      <c r="GYM290" s="3"/>
      <c r="GYN290" s="3"/>
      <c r="GYO290" s="3"/>
      <c r="GYP290" s="3"/>
      <c r="GYQ290" s="3"/>
      <c r="GYR290" s="3"/>
      <c r="GYS290" s="3"/>
      <c r="GYT290" s="3"/>
      <c r="GYU290" s="3"/>
      <c r="GYV290" s="3"/>
      <c r="GYW290" s="3"/>
      <c r="GYX290" s="3"/>
      <c r="GYY290" s="3"/>
      <c r="GYZ290" s="3"/>
      <c r="GZA290" s="3"/>
      <c r="GZB290" s="3"/>
      <c r="GZC290" s="3"/>
      <c r="GZD290" s="3"/>
      <c r="GZE290" s="3"/>
      <c r="GZF290" s="3"/>
      <c r="GZG290" s="3"/>
      <c r="GZH290" s="3"/>
      <c r="GZI290" s="3"/>
      <c r="GZJ290" s="3"/>
      <c r="GZK290" s="3"/>
      <c r="GZL290" s="3"/>
      <c r="GZM290" s="3"/>
      <c r="GZN290" s="3"/>
      <c r="GZO290" s="3"/>
      <c r="GZP290" s="3"/>
      <c r="GZQ290" s="3"/>
      <c r="GZR290" s="3"/>
      <c r="GZS290" s="3"/>
      <c r="GZT290" s="3"/>
      <c r="GZU290" s="3"/>
      <c r="GZV290" s="3"/>
      <c r="GZW290" s="3"/>
      <c r="GZX290" s="3"/>
      <c r="GZY290" s="3"/>
      <c r="GZZ290" s="3"/>
      <c r="HAA290" s="3"/>
      <c r="HAB290" s="3"/>
      <c r="HAC290" s="3"/>
      <c r="HAD290" s="3"/>
      <c r="HAE290" s="3"/>
      <c r="HAF290" s="3"/>
      <c r="HAG290" s="3"/>
      <c r="HAH290" s="3"/>
      <c r="HAI290" s="3"/>
      <c r="HAJ290" s="3"/>
      <c r="HAK290" s="3"/>
      <c r="HAL290" s="3"/>
      <c r="HAM290" s="3"/>
      <c r="HAN290" s="3"/>
      <c r="HAO290" s="3"/>
      <c r="HAP290" s="3"/>
      <c r="HAQ290" s="3"/>
      <c r="HAR290" s="3"/>
      <c r="HAS290" s="3"/>
      <c r="HAT290" s="3"/>
      <c r="HAU290" s="3"/>
      <c r="HAV290" s="3"/>
      <c r="HAW290" s="3"/>
      <c r="HAX290" s="3"/>
      <c r="HAY290" s="3"/>
      <c r="HAZ290" s="3"/>
      <c r="HBA290" s="3"/>
      <c r="HBB290" s="3"/>
      <c r="HBC290" s="3"/>
      <c r="HBD290" s="3"/>
      <c r="HBE290" s="3"/>
      <c r="HBF290" s="3"/>
      <c r="HBG290" s="3"/>
      <c r="HBH290" s="3"/>
      <c r="HBI290" s="3"/>
      <c r="HBJ290" s="3"/>
      <c r="HBK290" s="3"/>
      <c r="HBL290" s="3"/>
      <c r="HBM290" s="3"/>
      <c r="HBN290" s="3"/>
      <c r="HBO290" s="3"/>
      <c r="HBP290" s="3"/>
      <c r="HBQ290" s="3"/>
      <c r="HBR290" s="3"/>
      <c r="HBS290" s="3"/>
      <c r="HBT290" s="3"/>
      <c r="HBU290" s="3"/>
      <c r="HBV290" s="3"/>
      <c r="HBW290" s="3"/>
      <c r="HBX290" s="3"/>
      <c r="HBY290" s="3"/>
      <c r="HBZ290" s="3"/>
      <c r="HCA290" s="3"/>
      <c r="HCB290" s="3"/>
      <c r="HCC290" s="3"/>
      <c r="HCD290" s="3"/>
      <c r="HCE290" s="3"/>
      <c r="HCF290" s="3"/>
      <c r="HCG290" s="3"/>
      <c r="HCH290" s="3"/>
      <c r="HCI290" s="3"/>
      <c r="HCJ290" s="3"/>
      <c r="HCK290" s="3"/>
      <c r="HCL290" s="3"/>
      <c r="HCM290" s="3"/>
      <c r="HCN290" s="3"/>
      <c r="HCO290" s="3"/>
      <c r="HCP290" s="3"/>
      <c r="HCQ290" s="3"/>
      <c r="HCR290" s="3"/>
      <c r="HCS290" s="3"/>
      <c r="HCT290" s="3"/>
      <c r="HCU290" s="3"/>
      <c r="HCV290" s="3"/>
      <c r="HCW290" s="3"/>
      <c r="HCX290" s="3"/>
      <c r="HCY290" s="3"/>
      <c r="HCZ290" s="3"/>
      <c r="HDA290" s="3"/>
      <c r="HDB290" s="3"/>
      <c r="HDC290" s="3"/>
      <c r="HDD290" s="3"/>
      <c r="HDE290" s="3"/>
      <c r="HDF290" s="3"/>
      <c r="HDG290" s="3"/>
      <c r="HDH290" s="3"/>
      <c r="HDI290" s="3"/>
      <c r="HDJ290" s="3"/>
      <c r="HDK290" s="3"/>
      <c r="HDL290" s="3"/>
      <c r="HDM290" s="3"/>
      <c r="HDN290" s="3"/>
      <c r="HDO290" s="3"/>
      <c r="HDP290" s="3"/>
      <c r="HDQ290" s="3"/>
      <c r="HDR290" s="3"/>
      <c r="HDS290" s="3"/>
      <c r="HDT290" s="3"/>
      <c r="HDU290" s="3"/>
      <c r="HDV290" s="3"/>
      <c r="HDW290" s="3"/>
      <c r="HDX290" s="3"/>
      <c r="HDY290" s="3"/>
      <c r="HDZ290" s="3"/>
      <c r="HEA290" s="3"/>
      <c r="HEB290" s="3"/>
      <c r="HEC290" s="3"/>
      <c r="HED290" s="3"/>
      <c r="HEE290" s="3"/>
      <c r="HEF290" s="3"/>
      <c r="HEG290" s="3"/>
      <c r="HEH290" s="3"/>
      <c r="HEI290" s="3"/>
      <c r="HEJ290" s="3"/>
      <c r="HEK290" s="3"/>
      <c r="HEL290" s="3"/>
      <c r="HEM290" s="3"/>
      <c r="HEN290" s="3"/>
      <c r="HEO290" s="3"/>
      <c r="HEP290" s="3"/>
      <c r="HEQ290" s="3"/>
      <c r="HER290" s="3"/>
      <c r="HES290" s="3"/>
      <c r="HET290" s="3"/>
      <c r="HEU290" s="3"/>
      <c r="HEV290" s="3"/>
      <c r="HEW290" s="3"/>
      <c r="HEX290" s="3"/>
      <c r="HEY290" s="3"/>
      <c r="HEZ290" s="3"/>
      <c r="HFA290" s="3"/>
      <c r="HFB290" s="3"/>
      <c r="HFC290" s="3"/>
      <c r="HFD290" s="3"/>
      <c r="HFE290" s="3"/>
      <c r="HFF290" s="3"/>
      <c r="HFG290" s="3"/>
      <c r="HFH290" s="3"/>
      <c r="HFI290" s="3"/>
      <c r="HFJ290" s="3"/>
      <c r="HFK290" s="3"/>
      <c r="HFL290" s="3"/>
      <c r="HFM290" s="3"/>
      <c r="HFN290" s="3"/>
      <c r="HFO290" s="3"/>
      <c r="HFP290" s="3"/>
      <c r="HFQ290" s="3"/>
      <c r="HFR290" s="3"/>
      <c r="HFS290" s="3"/>
      <c r="HFT290" s="3"/>
      <c r="HFU290" s="3"/>
      <c r="HFV290" s="3"/>
      <c r="HFW290" s="3"/>
      <c r="HFX290" s="3"/>
      <c r="HFY290" s="3"/>
      <c r="HFZ290" s="3"/>
      <c r="HGA290" s="3"/>
      <c r="HGB290" s="3"/>
      <c r="HGC290" s="3"/>
      <c r="HGD290" s="3"/>
      <c r="HGE290" s="3"/>
      <c r="HGF290" s="3"/>
      <c r="HGG290" s="3"/>
      <c r="HGH290" s="3"/>
      <c r="HGI290" s="3"/>
      <c r="HGJ290" s="3"/>
      <c r="HGK290" s="3"/>
      <c r="HGL290" s="3"/>
      <c r="HGM290" s="3"/>
      <c r="HGN290" s="3"/>
      <c r="HGO290" s="3"/>
      <c r="HGP290" s="3"/>
      <c r="HGQ290" s="3"/>
      <c r="HGR290" s="3"/>
      <c r="HGS290" s="3"/>
      <c r="HGT290" s="3"/>
      <c r="HGU290" s="3"/>
      <c r="HGV290" s="3"/>
      <c r="HGW290" s="3"/>
      <c r="HGX290" s="3"/>
      <c r="HGY290" s="3"/>
      <c r="HGZ290" s="3"/>
      <c r="HHA290" s="3"/>
      <c r="HHB290" s="3"/>
      <c r="HHC290" s="3"/>
      <c r="HHD290" s="3"/>
      <c r="HHE290" s="3"/>
      <c r="HHF290" s="3"/>
      <c r="HHG290" s="3"/>
      <c r="HHH290" s="3"/>
      <c r="HHI290" s="3"/>
      <c r="HHJ290" s="3"/>
      <c r="HHK290" s="3"/>
      <c r="HHL290" s="3"/>
      <c r="HHM290" s="3"/>
      <c r="HHN290" s="3"/>
      <c r="HHO290" s="3"/>
      <c r="HHP290" s="3"/>
      <c r="HHQ290" s="3"/>
      <c r="HHR290" s="3"/>
      <c r="HHS290" s="3"/>
      <c r="HHT290" s="3"/>
      <c r="HHU290" s="3"/>
      <c r="HHV290" s="3"/>
      <c r="HHW290" s="3"/>
      <c r="HHX290" s="3"/>
      <c r="HHY290" s="3"/>
      <c r="HHZ290" s="3"/>
      <c r="HIA290" s="3"/>
      <c r="HIB290" s="3"/>
      <c r="HIC290" s="3"/>
      <c r="HID290" s="3"/>
      <c r="HIE290" s="3"/>
      <c r="HIF290" s="3"/>
      <c r="HIG290" s="3"/>
      <c r="HIH290" s="3"/>
      <c r="HII290" s="3"/>
      <c r="HIJ290" s="3"/>
      <c r="HIK290" s="3"/>
      <c r="HIL290" s="3"/>
      <c r="HIM290" s="3"/>
      <c r="HIN290" s="3"/>
      <c r="HIO290" s="3"/>
      <c r="HIP290" s="3"/>
      <c r="HIQ290" s="3"/>
      <c r="HIR290" s="3"/>
      <c r="HIS290" s="3"/>
      <c r="HIT290" s="3"/>
      <c r="HIU290" s="3"/>
      <c r="HIV290" s="3"/>
      <c r="HIW290" s="3"/>
      <c r="HIX290" s="3"/>
      <c r="HIY290" s="3"/>
      <c r="HIZ290" s="3"/>
      <c r="HJA290" s="3"/>
      <c r="HJB290" s="3"/>
      <c r="HJC290" s="3"/>
      <c r="HJD290" s="3"/>
      <c r="HJE290" s="3"/>
      <c r="HJF290" s="3"/>
      <c r="HJG290" s="3"/>
      <c r="HJH290" s="3"/>
      <c r="HJI290" s="3"/>
      <c r="HJJ290" s="3"/>
      <c r="HJK290" s="3"/>
      <c r="HJL290" s="3"/>
      <c r="HJM290" s="3"/>
      <c r="HJN290" s="3"/>
      <c r="HJO290" s="3"/>
      <c r="HJP290" s="3"/>
      <c r="HJQ290" s="3"/>
      <c r="HJR290" s="3"/>
      <c r="HJS290" s="3"/>
      <c r="HJT290" s="3"/>
      <c r="HJU290" s="3"/>
      <c r="HJV290" s="3"/>
      <c r="HJW290" s="3"/>
      <c r="HJX290" s="3"/>
      <c r="HJY290" s="3"/>
      <c r="HJZ290" s="3"/>
      <c r="HKA290" s="3"/>
      <c r="HKB290" s="3"/>
      <c r="HKC290" s="3"/>
      <c r="HKD290" s="3"/>
      <c r="HKE290" s="3"/>
      <c r="HKF290" s="3"/>
      <c r="HKG290" s="3"/>
      <c r="HKH290" s="3"/>
      <c r="HKI290" s="3"/>
      <c r="HKJ290" s="3"/>
      <c r="HKK290" s="3"/>
      <c r="HKL290" s="3"/>
      <c r="HKM290" s="3"/>
      <c r="HKN290" s="3"/>
      <c r="HKO290" s="3"/>
      <c r="HKP290" s="3"/>
      <c r="HKQ290" s="3"/>
      <c r="HKR290" s="3"/>
      <c r="HKS290" s="3"/>
      <c r="HKT290" s="3"/>
      <c r="HKU290" s="3"/>
      <c r="HKV290" s="3"/>
      <c r="HKW290" s="3"/>
      <c r="HKX290" s="3"/>
      <c r="HKY290" s="3"/>
      <c r="HKZ290" s="3"/>
      <c r="HLA290" s="3"/>
      <c r="HLB290" s="3"/>
      <c r="HLC290" s="3"/>
      <c r="HLD290" s="3"/>
      <c r="HLE290" s="3"/>
      <c r="HLF290" s="3"/>
      <c r="HLG290" s="3"/>
      <c r="HLH290" s="3"/>
      <c r="HLI290" s="3"/>
      <c r="HLJ290" s="3"/>
      <c r="HLK290" s="3"/>
      <c r="HLL290" s="3"/>
      <c r="HLM290" s="3"/>
      <c r="HLN290" s="3"/>
      <c r="HLO290" s="3"/>
      <c r="HLP290" s="3"/>
      <c r="HLQ290" s="3"/>
      <c r="HLR290" s="3"/>
      <c r="HLS290" s="3"/>
      <c r="HLT290" s="3"/>
      <c r="HLU290" s="3"/>
      <c r="HLV290" s="3"/>
      <c r="HLW290" s="3"/>
      <c r="HLX290" s="3"/>
      <c r="HLY290" s="3"/>
      <c r="HLZ290" s="3"/>
      <c r="HMA290" s="3"/>
      <c r="HMB290" s="3"/>
      <c r="HMC290" s="3"/>
      <c r="HMD290" s="3"/>
      <c r="HME290" s="3"/>
      <c r="HMF290" s="3"/>
      <c r="HMG290" s="3"/>
      <c r="HMH290" s="3"/>
      <c r="HMI290" s="3"/>
      <c r="HMJ290" s="3"/>
      <c r="HMK290" s="3"/>
      <c r="HML290" s="3"/>
      <c r="HMM290" s="3"/>
      <c r="HMN290" s="3"/>
      <c r="HMO290" s="3"/>
      <c r="HMP290" s="3"/>
      <c r="HMQ290" s="3"/>
      <c r="HMR290" s="3"/>
      <c r="HMS290" s="3"/>
      <c r="HMT290" s="3"/>
      <c r="HMU290" s="3"/>
      <c r="HMV290" s="3"/>
      <c r="HMW290" s="3"/>
      <c r="HMX290" s="3"/>
      <c r="HMY290" s="3"/>
      <c r="HMZ290" s="3"/>
      <c r="HNA290" s="3"/>
      <c r="HNB290" s="3"/>
      <c r="HNC290" s="3"/>
      <c r="HND290" s="3"/>
      <c r="HNE290" s="3"/>
      <c r="HNF290" s="3"/>
      <c r="HNG290" s="3"/>
      <c r="HNH290" s="3"/>
      <c r="HNI290" s="3"/>
      <c r="HNJ290" s="3"/>
      <c r="HNK290" s="3"/>
      <c r="HNL290" s="3"/>
      <c r="HNM290" s="3"/>
      <c r="HNN290" s="3"/>
      <c r="HNO290" s="3"/>
      <c r="HNP290" s="3"/>
      <c r="HNQ290" s="3"/>
      <c r="HNR290" s="3"/>
      <c r="HNS290" s="3"/>
      <c r="HNT290" s="3"/>
      <c r="HNU290" s="3"/>
      <c r="HNV290" s="3"/>
      <c r="HNW290" s="3"/>
      <c r="HNX290" s="3"/>
      <c r="HNY290" s="3"/>
      <c r="HNZ290" s="3"/>
      <c r="HOA290" s="3"/>
      <c r="HOB290" s="3"/>
      <c r="HOC290" s="3"/>
      <c r="HOD290" s="3"/>
      <c r="HOE290" s="3"/>
      <c r="HOF290" s="3"/>
      <c r="HOG290" s="3"/>
      <c r="HOH290" s="3"/>
      <c r="HOI290" s="3"/>
      <c r="HOJ290" s="3"/>
      <c r="HOK290" s="3"/>
      <c r="HOL290" s="3"/>
      <c r="HOM290" s="3"/>
      <c r="HON290" s="3"/>
      <c r="HOO290" s="3"/>
      <c r="HOP290" s="3"/>
      <c r="HOQ290" s="3"/>
      <c r="HOR290" s="3"/>
      <c r="HOS290" s="3"/>
      <c r="HOT290" s="3"/>
      <c r="HOU290" s="3"/>
      <c r="HOV290" s="3"/>
      <c r="HOW290" s="3"/>
      <c r="HOX290" s="3"/>
      <c r="HOY290" s="3"/>
      <c r="HOZ290" s="3"/>
      <c r="HPA290" s="3"/>
      <c r="HPB290" s="3"/>
      <c r="HPC290" s="3"/>
      <c r="HPD290" s="3"/>
      <c r="HPE290" s="3"/>
      <c r="HPF290" s="3"/>
      <c r="HPG290" s="3"/>
      <c r="HPH290" s="3"/>
      <c r="HPI290" s="3"/>
      <c r="HPJ290" s="3"/>
      <c r="HPK290" s="3"/>
      <c r="HPL290" s="3"/>
      <c r="HPM290" s="3"/>
      <c r="HPN290" s="3"/>
      <c r="HPO290" s="3"/>
      <c r="HPP290" s="3"/>
      <c r="HPQ290" s="3"/>
      <c r="HPR290" s="3"/>
      <c r="HPS290" s="3"/>
      <c r="HPT290" s="3"/>
      <c r="HPU290" s="3"/>
      <c r="HPV290" s="3"/>
      <c r="HPW290" s="3"/>
      <c r="HPX290" s="3"/>
      <c r="HPY290" s="3"/>
      <c r="HPZ290" s="3"/>
      <c r="HQA290" s="3"/>
      <c r="HQB290" s="3"/>
      <c r="HQC290" s="3"/>
      <c r="HQD290" s="3"/>
      <c r="HQE290" s="3"/>
      <c r="HQF290" s="3"/>
      <c r="HQG290" s="3"/>
      <c r="HQH290" s="3"/>
      <c r="HQI290" s="3"/>
      <c r="HQJ290" s="3"/>
      <c r="HQK290" s="3"/>
      <c r="HQL290" s="3"/>
      <c r="HQM290" s="3"/>
      <c r="HQN290" s="3"/>
      <c r="HQO290" s="3"/>
      <c r="HQP290" s="3"/>
      <c r="HQQ290" s="3"/>
      <c r="HQR290" s="3"/>
      <c r="HQS290" s="3"/>
      <c r="HQT290" s="3"/>
      <c r="HQU290" s="3"/>
      <c r="HQV290" s="3"/>
      <c r="HQW290" s="3"/>
      <c r="HQX290" s="3"/>
      <c r="HQY290" s="3"/>
      <c r="HQZ290" s="3"/>
      <c r="HRA290" s="3"/>
      <c r="HRB290" s="3"/>
      <c r="HRC290" s="3"/>
      <c r="HRD290" s="3"/>
      <c r="HRE290" s="3"/>
      <c r="HRF290" s="3"/>
      <c r="HRG290" s="3"/>
      <c r="HRH290" s="3"/>
      <c r="HRI290" s="3"/>
      <c r="HRJ290" s="3"/>
      <c r="HRK290" s="3"/>
      <c r="HRL290" s="3"/>
      <c r="HRM290" s="3"/>
      <c r="HRN290" s="3"/>
      <c r="HRO290" s="3"/>
      <c r="HRP290" s="3"/>
      <c r="HRQ290" s="3"/>
      <c r="HRR290" s="3"/>
      <c r="HRS290" s="3"/>
      <c r="HRT290" s="3"/>
      <c r="HRU290" s="3"/>
      <c r="HRV290" s="3"/>
      <c r="HRW290" s="3"/>
      <c r="HRX290" s="3"/>
      <c r="HRY290" s="3"/>
      <c r="HRZ290" s="3"/>
      <c r="HSA290" s="3"/>
      <c r="HSB290" s="3"/>
      <c r="HSC290" s="3"/>
      <c r="HSD290" s="3"/>
      <c r="HSE290" s="3"/>
      <c r="HSF290" s="3"/>
      <c r="HSG290" s="3"/>
      <c r="HSH290" s="3"/>
      <c r="HSI290" s="3"/>
      <c r="HSJ290" s="3"/>
      <c r="HSK290" s="3"/>
      <c r="HSL290" s="3"/>
      <c r="HSM290" s="3"/>
      <c r="HSN290" s="3"/>
      <c r="HSO290" s="3"/>
      <c r="HSP290" s="3"/>
      <c r="HSQ290" s="3"/>
      <c r="HSR290" s="3"/>
      <c r="HSS290" s="3"/>
      <c r="HST290" s="3"/>
      <c r="HSU290" s="3"/>
      <c r="HSV290" s="3"/>
      <c r="HSW290" s="3"/>
      <c r="HSX290" s="3"/>
      <c r="HSY290" s="3"/>
      <c r="HSZ290" s="3"/>
      <c r="HTA290" s="3"/>
      <c r="HTB290" s="3"/>
      <c r="HTC290" s="3"/>
      <c r="HTD290" s="3"/>
      <c r="HTE290" s="3"/>
      <c r="HTF290" s="3"/>
      <c r="HTG290" s="3"/>
      <c r="HTH290" s="3"/>
      <c r="HTI290" s="3"/>
      <c r="HTJ290" s="3"/>
      <c r="HTK290" s="3"/>
      <c r="HTL290" s="3"/>
      <c r="HTM290" s="3"/>
      <c r="HTN290" s="3"/>
      <c r="HTO290" s="3"/>
      <c r="HTP290" s="3"/>
      <c r="HTQ290" s="3"/>
      <c r="HTR290" s="3"/>
      <c r="HTS290" s="3"/>
      <c r="HTT290" s="3"/>
      <c r="HTU290" s="3"/>
      <c r="HTV290" s="3"/>
      <c r="HTW290" s="3"/>
      <c r="HTX290" s="3"/>
      <c r="HTY290" s="3"/>
      <c r="HTZ290" s="3"/>
      <c r="HUA290" s="3"/>
      <c r="HUB290" s="3"/>
      <c r="HUC290" s="3"/>
      <c r="HUD290" s="3"/>
      <c r="HUE290" s="3"/>
      <c r="HUF290" s="3"/>
      <c r="HUG290" s="3"/>
      <c r="HUH290" s="3"/>
      <c r="HUI290" s="3"/>
      <c r="HUJ290" s="3"/>
      <c r="HUK290" s="3"/>
      <c r="HUL290" s="3"/>
      <c r="HUM290" s="3"/>
      <c r="HUN290" s="3"/>
      <c r="HUO290" s="3"/>
      <c r="HUP290" s="3"/>
      <c r="HUQ290" s="3"/>
      <c r="HUR290" s="3"/>
      <c r="HUS290" s="3"/>
      <c r="HUT290" s="3"/>
      <c r="HUU290" s="3"/>
      <c r="HUV290" s="3"/>
      <c r="HUW290" s="3"/>
      <c r="HUX290" s="3"/>
      <c r="HUY290" s="3"/>
      <c r="HUZ290" s="3"/>
      <c r="HVA290" s="3"/>
      <c r="HVB290" s="3"/>
      <c r="HVC290" s="3"/>
      <c r="HVD290" s="3"/>
      <c r="HVE290" s="3"/>
      <c r="HVF290" s="3"/>
      <c r="HVG290" s="3"/>
      <c r="HVH290" s="3"/>
      <c r="HVI290" s="3"/>
      <c r="HVJ290" s="3"/>
      <c r="HVK290" s="3"/>
      <c r="HVL290" s="3"/>
      <c r="HVM290" s="3"/>
      <c r="HVN290" s="3"/>
      <c r="HVO290" s="3"/>
      <c r="HVP290" s="3"/>
      <c r="HVQ290" s="3"/>
      <c r="HVR290" s="3"/>
      <c r="HVS290" s="3"/>
      <c r="HVT290" s="3"/>
      <c r="HVU290" s="3"/>
      <c r="HVV290" s="3"/>
      <c r="HVW290" s="3"/>
      <c r="HVX290" s="3"/>
      <c r="HVY290" s="3"/>
      <c r="HVZ290" s="3"/>
      <c r="HWA290" s="3"/>
      <c r="HWB290" s="3"/>
      <c r="HWC290" s="3"/>
      <c r="HWD290" s="3"/>
      <c r="HWE290" s="3"/>
      <c r="HWF290" s="3"/>
      <c r="HWG290" s="3"/>
      <c r="HWH290" s="3"/>
      <c r="HWI290" s="3"/>
      <c r="HWJ290" s="3"/>
      <c r="HWK290" s="3"/>
      <c r="HWL290" s="3"/>
      <c r="HWM290" s="3"/>
      <c r="HWN290" s="3"/>
      <c r="HWO290" s="3"/>
      <c r="HWP290" s="3"/>
      <c r="HWQ290" s="3"/>
      <c r="HWR290" s="3"/>
      <c r="HWS290" s="3"/>
      <c r="HWT290" s="3"/>
      <c r="HWU290" s="3"/>
      <c r="HWV290" s="3"/>
      <c r="HWW290" s="3"/>
      <c r="HWX290" s="3"/>
      <c r="HWY290" s="3"/>
      <c r="HWZ290" s="3"/>
      <c r="HXA290" s="3"/>
      <c r="HXB290" s="3"/>
      <c r="HXC290" s="3"/>
      <c r="HXD290" s="3"/>
      <c r="HXE290" s="3"/>
      <c r="HXF290" s="3"/>
      <c r="HXG290" s="3"/>
      <c r="HXH290" s="3"/>
      <c r="HXI290" s="3"/>
      <c r="HXJ290" s="3"/>
      <c r="HXK290" s="3"/>
      <c r="HXL290" s="3"/>
      <c r="HXM290" s="3"/>
      <c r="HXN290" s="3"/>
      <c r="HXO290" s="3"/>
      <c r="HXP290" s="3"/>
      <c r="HXQ290" s="3"/>
      <c r="HXR290" s="3"/>
      <c r="HXS290" s="3"/>
      <c r="HXT290" s="3"/>
      <c r="HXU290" s="3"/>
      <c r="HXV290" s="3"/>
      <c r="HXW290" s="3"/>
      <c r="HXX290" s="3"/>
      <c r="HXY290" s="3"/>
      <c r="HXZ290" s="3"/>
      <c r="HYA290" s="3"/>
      <c r="HYB290" s="3"/>
      <c r="HYC290" s="3"/>
      <c r="HYD290" s="3"/>
      <c r="HYE290" s="3"/>
      <c r="HYF290" s="3"/>
      <c r="HYG290" s="3"/>
      <c r="HYH290" s="3"/>
      <c r="HYI290" s="3"/>
      <c r="HYJ290" s="3"/>
      <c r="HYK290" s="3"/>
      <c r="HYL290" s="3"/>
      <c r="HYM290" s="3"/>
      <c r="HYN290" s="3"/>
      <c r="HYO290" s="3"/>
      <c r="HYP290" s="3"/>
      <c r="HYQ290" s="3"/>
      <c r="HYR290" s="3"/>
      <c r="HYS290" s="3"/>
      <c r="HYT290" s="3"/>
      <c r="HYU290" s="3"/>
      <c r="HYV290" s="3"/>
      <c r="HYW290" s="3"/>
      <c r="HYX290" s="3"/>
      <c r="HYY290" s="3"/>
      <c r="HYZ290" s="3"/>
      <c r="HZA290" s="3"/>
      <c r="HZB290" s="3"/>
      <c r="HZC290" s="3"/>
      <c r="HZD290" s="3"/>
      <c r="HZE290" s="3"/>
      <c r="HZF290" s="3"/>
      <c r="HZG290" s="3"/>
      <c r="HZH290" s="3"/>
      <c r="HZI290" s="3"/>
      <c r="HZJ290" s="3"/>
      <c r="HZK290" s="3"/>
      <c r="HZL290" s="3"/>
      <c r="HZM290" s="3"/>
      <c r="HZN290" s="3"/>
      <c r="HZO290" s="3"/>
      <c r="HZP290" s="3"/>
      <c r="HZQ290" s="3"/>
      <c r="HZR290" s="3"/>
      <c r="HZS290" s="3"/>
      <c r="HZT290" s="3"/>
      <c r="HZU290" s="3"/>
      <c r="HZV290" s="3"/>
      <c r="HZW290" s="3"/>
      <c r="HZX290" s="3"/>
      <c r="HZY290" s="3"/>
      <c r="HZZ290" s="3"/>
      <c r="IAA290" s="3"/>
      <c r="IAB290" s="3"/>
      <c r="IAC290" s="3"/>
      <c r="IAD290" s="3"/>
      <c r="IAE290" s="3"/>
      <c r="IAF290" s="3"/>
      <c r="IAG290" s="3"/>
      <c r="IAH290" s="3"/>
      <c r="IAI290" s="3"/>
      <c r="IAJ290" s="3"/>
      <c r="IAK290" s="3"/>
      <c r="IAL290" s="3"/>
      <c r="IAM290" s="3"/>
      <c r="IAN290" s="3"/>
      <c r="IAO290" s="3"/>
      <c r="IAP290" s="3"/>
      <c r="IAQ290" s="3"/>
      <c r="IAR290" s="3"/>
      <c r="IAS290" s="3"/>
      <c r="IAT290" s="3"/>
      <c r="IAU290" s="3"/>
      <c r="IAV290" s="3"/>
      <c r="IAW290" s="3"/>
      <c r="IAX290" s="3"/>
      <c r="IAY290" s="3"/>
      <c r="IAZ290" s="3"/>
      <c r="IBA290" s="3"/>
      <c r="IBB290" s="3"/>
      <c r="IBC290" s="3"/>
      <c r="IBD290" s="3"/>
      <c r="IBE290" s="3"/>
      <c r="IBF290" s="3"/>
      <c r="IBG290" s="3"/>
      <c r="IBH290" s="3"/>
      <c r="IBI290" s="3"/>
      <c r="IBJ290" s="3"/>
      <c r="IBK290" s="3"/>
      <c r="IBL290" s="3"/>
      <c r="IBM290" s="3"/>
      <c r="IBN290" s="3"/>
      <c r="IBO290" s="3"/>
      <c r="IBP290" s="3"/>
      <c r="IBQ290" s="3"/>
      <c r="IBR290" s="3"/>
      <c r="IBS290" s="3"/>
      <c r="IBT290" s="3"/>
      <c r="IBU290" s="3"/>
      <c r="IBV290" s="3"/>
      <c r="IBW290" s="3"/>
      <c r="IBX290" s="3"/>
      <c r="IBY290" s="3"/>
      <c r="IBZ290" s="3"/>
      <c r="ICA290" s="3"/>
      <c r="ICB290" s="3"/>
      <c r="ICC290" s="3"/>
      <c r="ICD290" s="3"/>
      <c r="ICE290" s="3"/>
      <c r="ICF290" s="3"/>
      <c r="ICG290" s="3"/>
      <c r="ICH290" s="3"/>
      <c r="ICI290" s="3"/>
      <c r="ICJ290" s="3"/>
      <c r="ICK290" s="3"/>
      <c r="ICL290" s="3"/>
      <c r="ICM290" s="3"/>
      <c r="ICN290" s="3"/>
      <c r="ICO290" s="3"/>
      <c r="ICP290" s="3"/>
      <c r="ICQ290" s="3"/>
      <c r="ICR290" s="3"/>
      <c r="ICS290" s="3"/>
      <c r="ICT290" s="3"/>
      <c r="ICU290" s="3"/>
      <c r="ICV290" s="3"/>
      <c r="ICW290" s="3"/>
      <c r="ICX290" s="3"/>
      <c r="ICY290" s="3"/>
      <c r="ICZ290" s="3"/>
      <c r="IDA290" s="3"/>
      <c r="IDB290" s="3"/>
      <c r="IDC290" s="3"/>
      <c r="IDD290" s="3"/>
      <c r="IDE290" s="3"/>
      <c r="IDF290" s="3"/>
      <c r="IDG290" s="3"/>
      <c r="IDH290" s="3"/>
      <c r="IDI290" s="3"/>
      <c r="IDJ290" s="3"/>
      <c r="IDK290" s="3"/>
      <c r="IDL290" s="3"/>
      <c r="IDM290" s="3"/>
      <c r="IDN290" s="3"/>
      <c r="IDO290" s="3"/>
      <c r="IDP290" s="3"/>
      <c r="IDQ290" s="3"/>
      <c r="IDR290" s="3"/>
      <c r="IDS290" s="3"/>
      <c r="IDT290" s="3"/>
      <c r="IDU290" s="3"/>
      <c r="IDV290" s="3"/>
      <c r="IDW290" s="3"/>
      <c r="IDX290" s="3"/>
      <c r="IDY290" s="3"/>
      <c r="IDZ290" s="3"/>
      <c r="IEA290" s="3"/>
      <c r="IEB290" s="3"/>
      <c r="IEC290" s="3"/>
      <c r="IED290" s="3"/>
      <c r="IEE290" s="3"/>
      <c r="IEF290" s="3"/>
      <c r="IEG290" s="3"/>
      <c r="IEH290" s="3"/>
      <c r="IEI290" s="3"/>
      <c r="IEJ290" s="3"/>
      <c r="IEK290" s="3"/>
      <c r="IEL290" s="3"/>
      <c r="IEM290" s="3"/>
      <c r="IEN290" s="3"/>
      <c r="IEO290" s="3"/>
      <c r="IEP290" s="3"/>
      <c r="IEQ290" s="3"/>
      <c r="IER290" s="3"/>
      <c r="IES290" s="3"/>
      <c r="IET290" s="3"/>
      <c r="IEU290" s="3"/>
      <c r="IEV290" s="3"/>
      <c r="IEW290" s="3"/>
      <c r="IEX290" s="3"/>
      <c r="IEY290" s="3"/>
      <c r="IEZ290" s="3"/>
      <c r="IFA290" s="3"/>
      <c r="IFB290" s="3"/>
      <c r="IFC290" s="3"/>
      <c r="IFD290" s="3"/>
      <c r="IFE290" s="3"/>
      <c r="IFF290" s="3"/>
      <c r="IFG290" s="3"/>
      <c r="IFH290" s="3"/>
      <c r="IFI290" s="3"/>
      <c r="IFJ290" s="3"/>
      <c r="IFK290" s="3"/>
      <c r="IFL290" s="3"/>
      <c r="IFM290" s="3"/>
      <c r="IFN290" s="3"/>
      <c r="IFO290" s="3"/>
      <c r="IFP290" s="3"/>
      <c r="IFQ290" s="3"/>
      <c r="IFR290" s="3"/>
      <c r="IFS290" s="3"/>
      <c r="IFT290" s="3"/>
      <c r="IFU290" s="3"/>
      <c r="IFV290" s="3"/>
      <c r="IFW290" s="3"/>
      <c r="IFX290" s="3"/>
      <c r="IFY290" s="3"/>
      <c r="IFZ290" s="3"/>
      <c r="IGA290" s="3"/>
      <c r="IGB290" s="3"/>
      <c r="IGC290" s="3"/>
      <c r="IGD290" s="3"/>
      <c r="IGE290" s="3"/>
      <c r="IGF290" s="3"/>
      <c r="IGG290" s="3"/>
      <c r="IGH290" s="3"/>
      <c r="IGI290" s="3"/>
      <c r="IGJ290" s="3"/>
      <c r="IGK290" s="3"/>
      <c r="IGL290" s="3"/>
      <c r="IGM290" s="3"/>
      <c r="IGN290" s="3"/>
      <c r="IGO290" s="3"/>
      <c r="IGP290" s="3"/>
      <c r="IGQ290" s="3"/>
      <c r="IGR290" s="3"/>
      <c r="IGS290" s="3"/>
      <c r="IGT290" s="3"/>
      <c r="IGU290" s="3"/>
      <c r="IGV290" s="3"/>
      <c r="IGW290" s="3"/>
      <c r="IGX290" s="3"/>
      <c r="IGY290" s="3"/>
      <c r="IGZ290" s="3"/>
      <c r="IHA290" s="3"/>
      <c r="IHB290" s="3"/>
      <c r="IHC290" s="3"/>
      <c r="IHD290" s="3"/>
      <c r="IHE290" s="3"/>
      <c r="IHF290" s="3"/>
      <c r="IHG290" s="3"/>
      <c r="IHH290" s="3"/>
      <c r="IHI290" s="3"/>
      <c r="IHJ290" s="3"/>
      <c r="IHK290" s="3"/>
      <c r="IHL290" s="3"/>
      <c r="IHM290" s="3"/>
      <c r="IHN290" s="3"/>
      <c r="IHO290" s="3"/>
      <c r="IHP290" s="3"/>
      <c r="IHQ290" s="3"/>
      <c r="IHR290" s="3"/>
      <c r="IHS290" s="3"/>
      <c r="IHT290" s="3"/>
      <c r="IHU290" s="3"/>
      <c r="IHV290" s="3"/>
      <c r="IHW290" s="3"/>
      <c r="IHX290" s="3"/>
      <c r="IHY290" s="3"/>
      <c r="IHZ290" s="3"/>
      <c r="IIA290" s="3"/>
      <c r="IIB290" s="3"/>
      <c r="IIC290" s="3"/>
      <c r="IID290" s="3"/>
      <c r="IIE290" s="3"/>
      <c r="IIF290" s="3"/>
      <c r="IIG290" s="3"/>
      <c r="IIH290" s="3"/>
      <c r="III290" s="3"/>
      <c r="IIJ290" s="3"/>
      <c r="IIK290" s="3"/>
      <c r="IIL290" s="3"/>
      <c r="IIM290" s="3"/>
      <c r="IIN290" s="3"/>
      <c r="IIO290" s="3"/>
      <c r="IIP290" s="3"/>
      <c r="IIQ290" s="3"/>
      <c r="IIR290" s="3"/>
      <c r="IIS290" s="3"/>
      <c r="IIT290" s="3"/>
      <c r="IIU290" s="3"/>
      <c r="IIV290" s="3"/>
      <c r="IIW290" s="3"/>
      <c r="IIX290" s="3"/>
      <c r="IIY290" s="3"/>
      <c r="IIZ290" s="3"/>
      <c r="IJA290" s="3"/>
      <c r="IJB290" s="3"/>
      <c r="IJC290" s="3"/>
      <c r="IJD290" s="3"/>
      <c r="IJE290" s="3"/>
      <c r="IJF290" s="3"/>
      <c r="IJG290" s="3"/>
      <c r="IJH290" s="3"/>
      <c r="IJI290" s="3"/>
      <c r="IJJ290" s="3"/>
      <c r="IJK290" s="3"/>
      <c r="IJL290" s="3"/>
      <c r="IJM290" s="3"/>
      <c r="IJN290" s="3"/>
      <c r="IJO290" s="3"/>
      <c r="IJP290" s="3"/>
      <c r="IJQ290" s="3"/>
      <c r="IJR290" s="3"/>
      <c r="IJS290" s="3"/>
      <c r="IJT290" s="3"/>
      <c r="IJU290" s="3"/>
      <c r="IJV290" s="3"/>
      <c r="IJW290" s="3"/>
      <c r="IJX290" s="3"/>
      <c r="IJY290" s="3"/>
      <c r="IJZ290" s="3"/>
      <c r="IKA290" s="3"/>
      <c r="IKB290" s="3"/>
      <c r="IKC290" s="3"/>
      <c r="IKD290" s="3"/>
      <c r="IKE290" s="3"/>
      <c r="IKF290" s="3"/>
      <c r="IKG290" s="3"/>
      <c r="IKH290" s="3"/>
      <c r="IKI290" s="3"/>
      <c r="IKJ290" s="3"/>
      <c r="IKK290" s="3"/>
      <c r="IKL290" s="3"/>
      <c r="IKM290" s="3"/>
      <c r="IKN290" s="3"/>
      <c r="IKO290" s="3"/>
      <c r="IKP290" s="3"/>
      <c r="IKQ290" s="3"/>
      <c r="IKR290" s="3"/>
      <c r="IKS290" s="3"/>
      <c r="IKT290" s="3"/>
      <c r="IKU290" s="3"/>
      <c r="IKV290" s="3"/>
      <c r="IKW290" s="3"/>
      <c r="IKX290" s="3"/>
      <c r="IKY290" s="3"/>
      <c r="IKZ290" s="3"/>
      <c r="ILA290" s="3"/>
      <c r="ILB290" s="3"/>
      <c r="ILC290" s="3"/>
      <c r="ILD290" s="3"/>
      <c r="ILE290" s="3"/>
      <c r="ILF290" s="3"/>
      <c r="ILG290" s="3"/>
      <c r="ILH290" s="3"/>
      <c r="ILI290" s="3"/>
      <c r="ILJ290" s="3"/>
      <c r="ILK290" s="3"/>
      <c r="ILL290" s="3"/>
      <c r="ILM290" s="3"/>
      <c r="ILN290" s="3"/>
      <c r="ILO290" s="3"/>
      <c r="ILP290" s="3"/>
      <c r="ILQ290" s="3"/>
      <c r="ILR290" s="3"/>
      <c r="ILS290" s="3"/>
      <c r="ILT290" s="3"/>
      <c r="ILU290" s="3"/>
      <c r="ILV290" s="3"/>
      <c r="ILW290" s="3"/>
      <c r="ILX290" s="3"/>
      <c r="ILY290" s="3"/>
      <c r="ILZ290" s="3"/>
      <c r="IMA290" s="3"/>
      <c r="IMB290" s="3"/>
      <c r="IMC290" s="3"/>
      <c r="IMD290" s="3"/>
      <c r="IME290" s="3"/>
      <c r="IMF290" s="3"/>
      <c r="IMG290" s="3"/>
      <c r="IMH290" s="3"/>
      <c r="IMI290" s="3"/>
      <c r="IMJ290" s="3"/>
      <c r="IMK290" s="3"/>
      <c r="IML290" s="3"/>
      <c r="IMM290" s="3"/>
      <c r="IMN290" s="3"/>
      <c r="IMO290" s="3"/>
      <c r="IMP290" s="3"/>
      <c r="IMQ290" s="3"/>
      <c r="IMR290" s="3"/>
      <c r="IMS290" s="3"/>
      <c r="IMT290" s="3"/>
      <c r="IMU290" s="3"/>
      <c r="IMV290" s="3"/>
      <c r="IMW290" s="3"/>
      <c r="IMX290" s="3"/>
      <c r="IMY290" s="3"/>
      <c r="IMZ290" s="3"/>
      <c r="INA290" s="3"/>
      <c r="INB290" s="3"/>
      <c r="INC290" s="3"/>
      <c r="IND290" s="3"/>
      <c r="INE290" s="3"/>
      <c r="INF290" s="3"/>
      <c r="ING290" s="3"/>
      <c r="INH290" s="3"/>
      <c r="INI290" s="3"/>
      <c r="INJ290" s="3"/>
      <c r="INK290" s="3"/>
      <c r="INL290" s="3"/>
      <c r="INM290" s="3"/>
      <c r="INN290" s="3"/>
      <c r="INO290" s="3"/>
      <c r="INP290" s="3"/>
      <c r="INQ290" s="3"/>
      <c r="INR290" s="3"/>
      <c r="INS290" s="3"/>
      <c r="INT290" s="3"/>
      <c r="INU290" s="3"/>
      <c r="INV290" s="3"/>
      <c r="INW290" s="3"/>
      <c r="INX290" s="3"/>
      <c r="INY290" s="3"/>
      <c r="INZ290" s="3"/>
      <c r="IOA290" s="3"/>
      <c r="IOB290" s="3"/>
      <c r="IOC290" s="3"/>
      <c r="IOD290" s="3"/>
      <c r="IOE290" s="3"/>
      <c r="IOF290" s="3"/>
      <c r="IOG290" s="3"/>
      <c r="IOH290" s="3"/>
      <c r="IOI290" s="3"/>
      <c r="IOJ290" s="3"/>
      <c r="IOK290" s="3"/>
      <c r="IOL290" s="3"/>
      <c r="IOM290" s="3"/>
      <c r="ION290" s="3"/>
      <c r="IOO290" s="3"/>
      <c r="IOP290" s="3"/>
      <c r="IOQ290" s="3"/>
      <c r="IOR290" s="3"/>
      <c r="IOS290" s="3"/>
      <c r="IOT290" s="3"/>
      <c r="IOU290" s="3"/>
      <c r="IOV290" s="3"/>
      <c r="IOW290" s="3"/>
      <c r="IOX290" s="3"/>
      <c r="IOY290" s="3"/>
      <c r="IOZ290" s="3"/>
      <c r="IPA290" s="3"/>
      <c r="IPB290" s="3"/>
      <c r="IPC290" s="3"/>
      <c r="IPD290" s="3"/>
      <c r="IPE290" s="3"/>
      <c r="IPF290" s="3"/>
      <c r="IPG290" s="3"/>
      <c r="IPH290" s="3"/>
      <c r="IPI290" s="3"/>
      <c r="IPJ290" s="3"/>
      <c r="IPK290" s="3"/>
      <c r="IPL290" s="3"/>
      <c r="IPM290" s="3"/>
      <c r="IPN290" s="3"/>
      <c r="IPO290" s="3"/>
      <c r="IPP290" s="3"/>
      <c r="IPQ290" s="3"/>
      <c r="IPR290" s="3"/>
      <c r="IPS290" s="3"/>
      <c r="IPT290" s="3"/>
      <c r="IPU290" s="3"/>
      <c r="IPV290" s="3"/>
      <c r="IPW290" s="3"/>
      <c r="IPX290" s="3"/>
      <c r="IPY290" s="3"/>
      <c r="IPZ290" s="3"/>
      <c r="IQA290" s="3"/>
      <c r="IQB290" s="3"/>
      <c r="IQC290" s="3"/>
      <c r="IQD290" s="3"/>
      <c r="IQE290" s="3"/>
      <c r="IQF290" s="3"/>
      <c r="IQG290" s="3"/>
      <c r="IQH290" s="3"/>
      <c r="IQI290" s="3"/>
      <c r="IQJ290" s="3"/>
      <c r="IQK290" s="3"/>
      <c r="IQL290" s="3"/>
      <c r="IQM290" s="3"/>
      <c r="IQN290" s="3"/>
      <c r="IQO290" s="3"/>
      <c r="IQP290" s="3"/>
      <c r="IQQ290" s="3"/>
      <c r="IQR290" s="3"/>
      <c r="IQS290" s="3"/>
      <c r="IQT290" s="3"/>
      <c r="IQU290" s="3"/>
      <c r="IQV290" s="3"/>
      <c r="IQW290" s="3"/>
      <c r="IQX290" s="3"/>
      <c r="IQY290" s="3"/>
      <c r="IQZ290" s="3"/>
      <c r="IRA290" s="3"/>
      <c r="IRB290" s="3"/>
      <c r="IRC290" s="3"/>
      <c r="IRD290" s="3"/>
      <c r="IRE290" s="3"/>
      <c r="IRF290" s="3"/>
      <c r="IRG290" s="3"/>
      <c r="IRH290" s="3"/>
      <c r="IRI290" s="3"/>
      <c r="IRJ290" s="3"/>
      <c r="IRK290" s="3"/>
      <c r="IRL290" s="3"/>
      <c r="IRM290" s="3"/>
      <c r="IRN290" s="3"/>
      <c r="IRO290" s="3"/>
      <c r="IRP290" s="3"/>
      <c r="IRQ290" s="3"/>
      <c r="IRR290" s="3"/>
      <c r="IRS290" s="3"/>
      <c r="IRT290" s="3"/>
      <c r="IRU290" s="3"/>
      <c r="IRV290" s="3"/>
      <c r="IRW290" s="3"/>
      <c r="IRX290" s="3"/>
      <c r="IRY290" s="3"/>
      <c r="IRZ290" s="3"/>
      <c r="ISA290" s="3"/>
      <c r="ISB290" s="3"/>
      <c r="ISC290" s="3"/>
      <c r="ISD290" s="3"/>
      <c r="ISE290" s="3"/>
      <c r="ISF290" s="3"/>
      <c r="ISG290" s="3"/>
      <c r="ISH290" s="3"/>
      <c r="ISI290" s="3"/>
      <c r="ISJ290" s="3"/>
      <c r="ISK290" s="3"/>
      <c r="ISL290" s="3"/>
      <c r="ISM290" s="3"/>
      <c r="ISN290" s="3"/>
      <c r="ISO290" s="3"/>
      <c r="ISP290" s="3"/>
      <c r="ISQ290" s="3"/>
      <c r="ISR290" s="3"/>
      <c r="ISS290" s="3"/>
      <c r="IST290" s="3"/>
      <c r="ISU290" s="3"/>
      <c r="ISV290" s="3"/>
      <c r="ISW290" s="3"/>
      <c r="ISX290" s="3"/>
      <c r="ISY290" s="3"/>
      <c r="ISZ290" s="3"/>
      <c r="ITA290" s="3"/>
      <c r="ITB290" s="3"/>
      <c r="ITC290" s="3"/>
      <c r="ITD290" s="3"/>
      <c r="ITE290" s="3"/>
      <c r="ITF290" s="3"/>
      <c r="ITG290" s="3"/>
      <c r="ITH290" s="3"/>
      <c r="ITI290" s="3"/>
      <c r="ITJ290" s="3"/>
      <c r="ITK290" s="3"/>
      <c r="ITL290" s="3"/>
      <c r="ITM290" s="3"/>
      <c r="ITN290" s="3"/>
      <c r="ITO290" s="3"/>
      <c r="ITP290" s="3"/>
      <c r="ITQ290" s="3"/>
      <c r="ITR290" s="3"/>
      <c r="ITS290" s="3"/>
      <c r="ITT290" s="3"/>
      <c r="ITU290" s="3"/>
      <c r="ITV290" s="3"/>
      <c r="ITW290" s="3"/>
      <c r="ITX290" s="3"/>
      <c r="ITY290" s="3"/>
      <c r="ITZ290" s="3"/>
      <c r="IUA290" s="3"/>
      <c r="IUB290" s="3"/>
      <c r="IUC290" s="3"/>
      <c r="IUD290" s="3"/>
      <c r="IUE290" s="3"/>
      <c r="IUF290" s="3"/>
      <c r="IUG290" s="3"/>
      <c r="IUH290" s="3"/>
      <c r="IUI290" s="3"/>
      <c r="IUJ290" s="3"/>
      <c r="IUK290" s="3"/>
      <c r="IUL290" s="3"/>
      <c r="IUM290" s="3"/>
      <c r="IUN290" s="3"/>
      <c r="IUO290" s="3"/>
      <c r="IUP290" s="3"/>
      <c r="IUQ290" s="3"/>
      <c r="IUR290" s="3"/>
      <c r="IUS290" s="3"/>
      <c r="IUT290" s="3"/>
      <c r="IUU290" s="3"/>
      <c r="IUV290" s="3"/>
      <c r="IUW290" s="3"/>
      <c r="IUX290" s="3"/>
      <c r="IUY290" s="3"/>
      <c r="IUZ290" s="3"/>
      <c r="IVA290" s="3"/>
      <c r="IVB290" s="3"/>
      <c r="IVC290" s="3"/>
      <c r="IVD290" s="3"/>
      <c r="IVE290" s="3"/>
      <c r="IVF290" s="3"/>
      <c r="IVG290" s="3"/>
      <c r="IVH290" s="3"/>
      <c r="IVI290" s="3"/>
      <c r="IVJ290" s="3"/>
      <c r="IVK290" s="3"/>
      <c r="IVL290" s="3"/>
      <c r="IVM290" s="3"/>
      <c r="IVN290" s="3"/>
      <c r="IVO290" s="3"/>
      <c r="IVP290" s="3"/>
      <c r="IVQ290" s="3"/>
      <c r="IVR290" s="3"/>
      <c r="IVS290" s="3"/>
      <c r="IVT290" s="3"/>
      <c r="IVU290" s="3"/>
      <c r="IVV290" s="3"/>
      <c r="IVW290" s="3"/>
      <c r="IVX290" s="3"/>
      <c r="IVY290" s="3"/>
      <c r="IVZ290" s="3"/>
      <c r="IWA290" s="3"/>
      <c r="IWB290" s="3"/>
      <c r="IWC290" s="3"/>
      <c r="IWD290" s="3"/>
      <c r="IWE290" s="3"/>
      <c r="IWF290" s="3"/>
      <c r="IWG290" s="3"/>
      <c r="IWH290" s="3"/>
      <c r="IWI290" s="3"/>
      <c r="IWJ290" s="3"/>
      <c r="IWK290" s="3"/>
      <c r="IWL290" s="3"/>
      <c r="IWM290" s="3"/>
      <c r="IWN290" s="3"/>
      <c r="IWO290" s="3"/>
      <c r="IWP290" s="3"/>
      <c r="IWQ290" s="3"/>
      <c r="IWR290" s="3"/>
      <c r="IWS290" s="3"/>
      <c r="IWT290" s="3"/>
      <c r="IWU290" s="3"/>
      <c r="IWV290" s="3"/>
      <c r="IWW290" s="3"/>
      <c r="IWX290" s="3"/>
      <c r="IWY290" s="3"/>
      <c r="IWZ290" s="3"/>
      <c r="IXA290" s="3"/>
      <c r="IXB290" s="3"/>
      <c r="IXC290" s="3"/>
      <c r="IXD290" s="3"/>
      <c r="IXE290" s="3"/>
      <c r="IXF290" s="3"/>
      <c r="IXG290" s="3"/>
      <c r="IXH290" s="3"/>
      <c r="IXI290" s="3"/>
      <c r="IXJ290" s="3"/>
      <c r="IXK290" s="3"/>
      <c r="IXL290" s="3"/>
      <c r="IXM290" s="3"/>
      <c r="IXN290" s="3"/>
      <c r="IXO290" s="3"/>
      <c r="IXP290" s="3"/>
      <c r="IXQ290" s="3"/>
      <c r="IXR290" s="3"/>
      <c r="IXS290" s="3"/>
      <c r="IXT290" s="3"/>
      <c r="IXU290" s="3"/>
      <c r="IXV290" s="3"/>
      <c r="IXW290" s="3"/>
      <c r="IXX290" s="3"/>
      <c r="IXY290" s="3"/>
      <c r="IXZ290" s="3"/>
      <c r="IYA290" s="3"/>
      <c r="IYB290" s="3"/>
      <c r="IYC290" s="3"/>
      <c r="IYD290" s="3"/>
      <c r="IYE290" s="3"/>
      <c r="IYF290" s="3"/>
      <c r="IYG290" s="3"/>
      <c r="IYH290" s="3"/>
      <c r="IYI290" s="3"/>
      <c r="IYJ290" s="3"/>
      <c r="IYK290" s="3"/>
      <c r="IYL290" s="3"/>
      <c r="IYM290" s="3"/>
      <c r="IYN290" s="3"/>
      <c r="IYO290" s="3"/>
      <c r="IYP290" s="3"/>
      <c r="IYQ290" s="3"/>
      <c r="IYR290" s="3"/>
      <c r="IYS290" s="3"/>
      <c r="IYT290" s="3"/>
      <c r="IYU290" s="3"/>
      <c r="IYV290" s="3"/>
      <c r="IYW290" s="3"/>
      <c r="IYX290" s="3"/>
      <c r="IYY290" s="3"/>
      <c r="IYZ290" s="3"/>
      <c r="IZA290" s="3"/>
      <c r="IZB290" s="3"/>
      <c r="IZC290" s="3"/>
      <c r="IZD290" s="3"/>
      <c r="IZE290" s="3"/>
      <c r="IZF290" s="3"/>
      <c r="IZG290" s="3"/>
      <c r="IZH290" s="3"/>
      <c r="IZI290" s="3"/>
      <c r="IZJ290" s="3"/>
      <c r="IZK290" s="3"/>
      <c r="IZL290" s="3"/>
      <c r="IZM290" s="3"/>
      <c r="IZN290" s="3"/>
      <c r="IZO290" s="3"/>
      <c r="IZP290" s="3"/>
      <c r="IZQ290" s="3"/>
      <c r="IZR290" s="3"/>
      <c r="IZS290" s="3"/>
      <c r="IZT290" s="3"/>
      <c r="IZU290" s="3"/>
      <c r="IZV290" s="3"/>
      <c r="IZW290" s="3"/>
      <c r="IZX290" s="3"/>
      <c r="IZY290" s="3"/>
      <c r="IZZ290" s="3"/>
      <c r="JAA290" s="3"/>
      <c r="JAB290" s="3"/>
      <c r="JAC290" s="3"/>
      <c r="JAD290" s="3"/>
      <c r="JAE290" s="3"/>
      <c r="JAF290" s="3"/>
      <c r="JAG290" s="3"/>
      <c r="JAH290" s="3"/>
      <c r="JAI290" s="3"/>
      <c r="JAJ290" s="3"/>
      <c r="JAK290" s="3"/>
      <c r="JAL290" s="3"/>
      <c r="JAM290" s="3"/>
      <c r="JAN290" s="3"/>
      <c r="JAO290" s="3"/>
      <c r="JAP290" s="3"/>
      <c r="JAQ290" s="3"/>
      <c r="JAR290" s="3"/>
      <c r="JAS290" s="3"/>
      <c r="JAT290" s="3"/>
      <c r="JAU290" s="3"/>
      <c r="JAV290" s="3"/>
      <c r="JAW290" s="3"/>
      <c r="JAX290" s="3"/>
      <c r="JAY290" s="3"/>
      <c r="JAZ290" s="3"/>
      <c r="JBA290" s="3"/>
      <c r="JBB290" s="3"/>
      <c r="JBC290" s="3"/>
      <c r="JBD290" s="3"/>
      <c r="JBE290" s="3"/>
      <c r="JBF290" s="3"/>
      <c r="JBG290" s="3"/>
      <c r="JBH290" s="3"/>
      <c r="JBI290" s="3"/>
      <c r="JBJ290" s="3"/>
      <c r="JBK290" s="3"/>
      <c r="JBL290" s="3"/>
      <c r="JBM290" s="3"/>
      <c r="JBN290" s="3"/>
      <c r="JBO290" s="3"/>
      <c r="JBP290" s="3"/>
      <c r="JBQ290" s="3"/>
      <c r="JBR290" s="3"/>
      <c r="JBS290" s="3"/>
      <c r="JBT290" s="3"/>
      <c r="JBU290" s="3"/>
      <c r="JBV290" s="3"/>
      <c r="JBW290" s="3"/>
      <c r="JBX290" s="3"/>
      <c r="JBY290" s="3"/>
      <c r="JBZ290" s="3"/>
      <c r="JCA290" s="3"/>
      <c r="JCB290" s="3"/>
      <c r="JCC290" s="3"/>
      <c r="JCD290" s="3"/>
      <c r="JCE290" s="3"/>
      <c r="JCF290" s="3"/>
      <c r="JCG290" s="3"/>
      <c r="JCH290" s="3"/>
      <c r="JCI290" s="3"/>
      <c r="JCJ290" s="3"/>
      <c r="JCK290" s="3"/>
      <c r="JCL290" s="3"/>
      <c r="JCM290" s="3"/>
      <c r="JCN290" s="3"/>
      <c r="JCO290" s="3"/>
      <c r="JCP290" s="3"/>
      <c r="JCQ290" s="3"/>
      <c r="JCR290" s="3"/>
      <c r="JCS290" s="3"/>
      <c r="JCT290" s="3"/>
      <c r="JCU290" s="3"/>
      <c r="JCV290" s="3"/>
      <c r="JCW290" s="3"/>
      <c r="JCX290" s="3"/>
      <c r="JCY290" s="3"/>
      <c r="JCZ290" s="3"/>
      <c r="JDA290" s="3"/>
      <c r="JDB290" s="3"/>
      <c r="JDC290" s="3"/>
      <c r="JDD290" s="3"/>
      <c r="JDE290" s="3"/>
      <c r="JDF290" s="3"/>
      <c r="JDG290" s="3"/>
      <c r="JDH290" s="3"/>
      <c r="JDI290" s="3"/>
      <c r="JDJ290" s="3"/>
      <c r="JDK290" s="3"/>
      <c r="JDL290" s="3"/>
      <c r="JDM290" s="3"/>
      <c r="JDN290" s="3"/>
      <c r="JDO290" s="3"/>
      <c r="JDP290" s="3"/>
      <c r="JDQ290" s="3"/>
      <c r="JDR290" s="3"/>
      <c r="JDS290" s="3"/>
      <c r="JDT290" s="3"/>
      <c r="JDU290" s="3"/>
      <c r="JDV290" s="3"/>
      <c r="JDW290" s="3"/>
      <c r="JDX290" s="3"/>
      <c r="JDY290" s="3"/>
      <c r="JDZ290" s="3"/>
      <c r="JEA290" s="3"/>
      <c r="JEB290" s="3"/>
      <c r="JEC290" s="3"/>
      <c r="JED290" s="3"/>
      <c r="JEE290" s="3"/>
      <c r="JEF290" s="3"/>
      <c r="JEG290" s="3"/>
      <c r="JEH290" s="3"/>
      <c r="JEI290" s="3"/>
      <c r="JEJ290" s="3"/>
      <c r="JEK290" s="3"/>
      <c r="JEL290" s="3"/>
      <c r="JEM290" s="3"/>
      <c r="JEN290" s="3"/>
      <c r="JEO290" s="3"/>
      <c r="JEP290" s="3"/>
      <c r="JEQ290" s="3"/>
      <c r="JER290" s="3"/>
      <c r="JES290" s="3"/>
      <c r="JET290" s="3"/>
      <c r="JEU290" s="3"/>
      <c r="JEV290" s="3"/>
      <c r="JEW290" s="3"/>
      <c r="JEX290" s="3"/>
      <c r="JEY290" s="3"/>
      <c r="JEZ290" s="3"/>
      <c r="JFA290" s="3"/>
      <c r="JFB290" s="3"/>
      <c r="JFC290" s="3"/>
      <c r="JFD290" s="3"/>
      <c r="JFE290" s="3"/>
      <c r="JFF290" s="3"/>
      <c r="JFG290" s="3"/>
      <c r="JFH290" s="3"/>
      <c r="JFI290" s="3"/>
      <c r="JFJ290" s="3"/>
      <c r="JFK290" s="3"/>
      <c r="JFL290" s="3"/>
      <c r="JFM290" s="3"/>
      <c r="JFN290" s="3"/>
      <c r="JFO290" s="3"/>
      <c r="JFP290" s="3"/>
      <c r="JFQ290" s="3"/>
      <c r="JFR290" s="3"/>
      <c r="JFS290" s="3"/>
      <c r="JFT290" s="3"/>
      <c r="JFU290" s="3"/>
      <c r="JFV290" s="3"/>
      <c r="JFW290" s="3"/>
      <c r="JFX290" s="3"/>
      <c r="JFY290" s="3"/>
      <c r="JFZ290" s="3"/>
      <c r="JGA290" s="3"/>
      <c r="JGB290" s="3"/>
      <c r="JGC290" s="3"/>
      <c r="JGD290" s="3"/>
      <c r="JGE290" s="3"/>
      <c r="JGF290" s="3"/>
      <c r="JGG290" s="3"/>
      <c r="JGH290" s="3"/>
      <c r="JGI290" s="3"/>
      <c r="JGJ290" s="3"/>
      <c r="JGK290" s="3"/>
      <c r="JGL290" s="3"/>
      <c r="JGM290" s="3"/>
      <c r="JGN290" s="3"/>
      <c r="JGO290" s="3"/>
      <c r="JGP290" s="3"/>
      <c r="JGQ290" s="3"/>
      <c r="JGR290" s="3"/>
      <c r="JGS290" s="3"/>
      <c r="JGT290" s="3"/>
      <c r="JGU290" s="3"/>
      <c r="JGV290" s="3"/>
      <c r="JGW290" s="3"/>
      <c r="JGX290" s="3"/>
      <c r="JGY290" s="3"/>
      <c r="JGZ290" s="3"/>
      <c r="JHA290" s="3"/>
      <c r="JHB290" s="3"/>
      <c r="JHC290" s="3"/>
      <c r="JHD290" s="3"/>
      <c r="JHE290" s="3"/>
      <c r="JHF290" s="3"/>
      <c r="JHG290" s="3"/>
      <c r="JHH290" s="3"/>
      <c r="JHI290" s="3"/>
      <c r="JHJ290" s="3"/>
      <c r="JHK290" s="3"/>
      <c r="JHL290" s="3"/>
      <c r="JHM290" s="3"/>
      <c r="JHN290" s="3"/>
      <c r="JHO290" s="3"/>
      <c r="JHP290" s="3"/>
      <c r="JHQ290" s="3"/>
      <c r="JHR290" s="3"/>
      <c r="JHS290" s="3"/>
      <c r="JHT290" s="3"/>
      <c r="JHU290" s="3"/>
      <c r="JHV290" s="3"/>
      <c r="JHW290" s="3"/>
      <c r="JHX290" s="3"/>
      <c r="JHY290" s="3"/>
      <c r="JHZ290" s="3"/>
      <c r="JIA290" s="3"/>
      <c r="JIB290" s="3"/>
      <c r="JIC290" s="3"/>
      <c r="JID290" s="3"/>
      <c r="JIE290" s="3"/>
      <c r="JIF290" s="3"/>
      <c r="JIG290" s="3"/>
      <c r="JIH290" s="3"/>
      <c r="JII290" s="3"/>
      <c r="JIJ290" s="3"/>
      <c r="JIK290" s="3"/>
      <c r="JIL290" s="3"/>
      <c r="JIM290" s="3"/>
      <c r="JIN290" s="3"/>
      <c r="JIO290" s="3"/>
      <c r="JIP290" s="3"/>
      <c r="JIQ290" s="3"/>
      <c r="JIR290" s="3"/>
      <c r="JIS290" s="3"/>
      <c r="JIT290" s="3"/>
      <c r="JIU290" s="3"/>
      <c r="JIV290" s="3"/>
      <c r="JIW290" s="3"/>
      <c r="JIX290" s="3"/>
      <c r="JIY290" s="3"/>
      <c r="JIZ290" s="3"/>
      <c r="JJA290" s="3"/>
      <c r="JJB290" s="3"/>
      <c r="JJC290" s="3"/>
      <c r="JJD290" s="3"/>
      <c r="JJE290" s="3"/>
      <c r="JJF290" s="3"/>
      <c r="JJG290" s="3"/>
      <c r="JJH290" s="3"/>
      <c r="JJI290" s="3"/>
      <c r="JJJ290" s="3"/>
      <c r="JJK290" s="3"/>
      <c r="JJL290" s="3"/>
      <c r="JJM290" s="3"/>
      <c r="JJN290" s="3"/>
      <c r="JJO290" s="3"/>
      <c r="JJP290" s="3"/>
      <c r="JJQ290" s="3"/>
      <c r="JJR290" s="3"/>
      <c r="JJS290" s="3"/>
      <c r="JJT290" s="3"/>
      <c r="JJU290" s="3"/>
      <c r="JJV290" s="3"/>
      <c r="JJW290" s="3"/>
      <c r="JJX290" s="3"/>
      <c r="JJY290" s="3"/>
      <c r="JJZ290" s="3"/>
      <c r="JKA290" s="3"/>
      <c r="JKB290" s="3"/>
      <c r="JKC290" s="3"/>
      <c r="JKD290" s="3"/>
      <c r="JKE290" s="3"/>
      <c r="JKF290" s="3"/>
      <c r="JKG290" s="3"/>
      <c r="JKH290" s="3"/>
      <c r="JKI290" s="3"/>
      <c r="JKJ290" s="3"/>
      <c r="JKK290" s="3"/>
      <c r="JKL290" s="3"/>
      <c r="JKM290" s="3"/>
      <c r="JKN290" s="3"/>
      <c r="JKO290" s="3"/>
      <c r="JKP290" s="3"/>
      <c r="JKQ290" s="3"/>
      <c r="JKR290" s="3"/>
      <c r="JKS290" s="3"/>
      <c r="JKT290" s="3"/>
      <c r="JKU290" s="3"/>
      <c r="JKV290" s="3"/>
      <c r="JKW290" s="3"/>
      <c r="JKX290" s="3"/>
      <c r="JKY290" s="3"/>
      <c r="JKZ290" s="3"/>
      <c r="JLA290" s="3"/>
      <c r="JLB290" s="3"/>
      <c r="JLC290" s="3"/>
      <c r="JLD290" s="3"/>
      <c r="JLE290" s="3"/>
      <c r="JLF290" s="3"/>
      <c r="JLG290" s="3"/>
      <c r="JLH290" s="3"/>
      <c r="JLI290" s="3"/>
      <c r="JLJ290" s="3"/>
      <c r="JLK290" s="3"/>
      <c r="JLL290" s="3"/>
      <c r="JLM290" s="3"/>
      <c r="JLN290" s="3"/>
      <c r="JLO290" s="3"/>
      <c r="JLP290" s="3"/>
      <c r="JLQ290" s="3"/>
      <c r="JLR290" s="3"/>
      <c r="JLS290" s="3"/>
      <c r="JLT290" s="3"/>
      <c r="JLU290" s="3"/>
      <c r="JLV290" s="3"/>
      <c r="JLW290" s="3"/>
      <c r="JLX290" s="3"/>
      <c r="JLY290" s="3"/>
      <c r="JLZ290" s="3"/>
      <c r="JMA290" s="3"/>
      <c r="JMB290" s="3"/>
      <c r="JMC290" s="3"/>
      <c r="JMD290" s="3"/>
      <c r="JME290" s="3"/>
      <c r="JMF290" s="3"/>
      <c r="JMG290" s="3"/>
      <c r="JMH290" s="3"/>
      <c r="JMI290" s="3"/>
      <c r="JMJ290" s="3"/>
      <c r="JMK290" s="3"/>
      <c r="JML290" s="3"/>
      <c r="JMM290" s="3"/>
      <c r="JMN290" s="3"/>
      <c r="JMO290" s="3"/>
      <c r="JMP290" s="3"/>
      <c r="JMQ290" s="3"/>
      <c r="JMR290" s="3"/>
      <c r="JMS290" s="3"/>
      <c r="JMT290" s="3"/>
      <c r="JMU290" s="3"/>
      <c r="JMV290" s="3"/>
      <c r="JMW290" s="3"/>
      <c r="JMX290" s="3"/>
      <c r="JMY290" s="3"/>
      <c r="JMZ290" s="3"/>
      <c r="JNA290" s="3"/>
      <c r="JNB290" s="3"/>
      <c r="JNC290" s="3"/>
      <c r="JND290" s="3"/>
      <c r="JNE290" s="3"/>
      <c r="JNF290" s="3"/>
      <c r="JNG290" s="3"/>
      <c r="JNH290" s="3"/>
      <c r="JNI290" s="3"/>
      <c r="JNJ290" s="3"/>
      <c r="JNK290" s="3"/>
      <c r="JNL290" s="3"/>
      <c r="JNM290" s="3"/>
      <c r="JNN290" s="3"/>
      <c r="JNO290" s="3"/>
      <c r="JNP290" s="3"/>
      <c r="JNQ290" s="3"/>
      <c r="JNR290" s="3"/>
      <c r="JNS290" s="3"/>
      <c r="JNT290" s="3"/>
      <c r="JNU290" s="3"/>
      <c r="JNV290" s="3"/>
      <c r="JNW290" s="3"/>
      <c r="JNX290" s="3"/>
      <c r="JNY290" s="3"/>
      <c r="JNZ290" s="3"/>
      <c r="JOA290" s="3"/>
      <c r="JOB290" s="3"/>
      <c r="JOC290" s="3"/>
      <c r="JOD290" s="3"/>
      <c r="JOE290" s="3"/>
      <c r="JOF290" s="3"/>
      <c r="JOG290" s="3"/>
      <c r="JOH290" s="3"/>
      <c r="JOI290" s="3"/>
      <c r="JOJ290" s="3"/>
      <c r="JOK290" s="3"/>
      <c r="JOL290" s="3"/>
      <c r="JOM290" s="3"/>
      <c r="JON290" s="3"/>
      <c r="JOO290" s="3"/>
      <c r="JOP290" s="3"/>
      <c r="JOQ290" s="3"/>
      <c r="JOR290" s="3"/>
      <c r="JOS290" s="3"/>
      <c r="JOT290" s="3"/>
      <c r="JOU290" s="3"/>
      <c r="JOV290" s="3"/>
      <c r="JOW290" s="3"/>
      <c r="JOX290" s="3"/>
      <c r="JOY290" s="3"/>
      <c r="JOZ290" s="3"/>
      <c r="JPA290" s="3"/>
      <c r="JPB290" s="3"/>
      <c r="JPC290" s="3"/>
      <c r="JPD290" s="3"/>
      <c r="JPE290" s="3"/>
      <c r="JPF290" s="3"/>
      <c r="JPG290" s="3"/>
      <c r="JPH290" s="3"/>
      <c r="JPI290" s="3"/>
      <c r="JPJ290" s="3"/>
      <c r="JPK290" s="3"/>
      <c r="JPL290" s="3"/>
      <c r="JPM290" s="3"/>
      <c r="JPN290" s="3"/>
      <c r="JPO290" s="3"/>
      <c r="JPP290" s="3"/>
      <c r="JPQ290" s="3"/>
      <c r="JPR290" s="3"/>
      <c r="JPS290" s="3"/>
      <c r="JPT290" s="3"/>
      <c r="JPU290" s="3"/>
      <c r="JPV290" s="3"/>
      <c r="JPW290" s="3"/>
      <c r="JPX290" s="3"/>
      <c r="JPY290" s="3"/>
      <c r="JPZ290" s="3"/>
      <c r="JQA290" s="3"/>
      <c r="JQB290" s="3"/>
      <c r="JQC290" s="3"/>
      <c r="JQD290" s="3"/>
      <c r="JQE290" s="3"/>
      <c r="JQF290" s="3"/>
      <c r="JQG290" s="3"/>
      <c r="JQH290" s="3"/>
      <c r="JQI290" s="3"/>
      <c r="JQJ290" s="3"/>
      <c r="JQK290" s="3"/>
      <c r="JQL290" s="3"/>
      <c r="JQM290" s="3"/>
      <c r="JQN290" s="3"/>
      <c r="JQO290" s="3"/>
      <c r="JQP290" s="3"/>
      <c r="JQQ290" s="3"/>
      <c r="JQR290" s="3"/>
      <c r="JQS290" s="3"/>
      <c r="JQT290" s="3"/>
      <c r="JQU290" s="3"/>
      <c r="JQV290" s="3"/>
      <c r="JQW290" s="3"/>
      <c r="JQX290" s="3"/>
      <c r="JQY290" s="3"/>
      <c r="JQZ290" s="3"/>
      <c r="JRA290" s="3"/>
      <c r="JRB290" s="3"/>
      <c r="JRC290" s="3"/>
      <c r="JRD290" s="3"/>
      <c r="JRE290" s="3"/>
      <c r="JRF290" s="3"/>
      <c r="JRG290" s="3"/>
      <c r="JRH290" s="3"/>
      <c r="JRI290" s="3"/>
      <c r="JRJ290" s="3"/>
      <c r="JRK290" s="3"/>
      <c r="JRL290" s="3"/>
      <c r="JRM290" s="3"/>
      <c r="JRN290" s="3"/>
      <c r="JRO290" s="3"/>
      <c r="JRP290" s="3"/>
      <c r="JRQ290" s="3"/>
      <c r="JRR290" s="3"/>
      <c r="JRS290" s="3"/>
      <c r="JRT290" s="3"/>
      <c r="JRU290" s="3"/>
      <c r="JRV290" s="3"/>
      <c r="JRW290" s="3"/>
      <c r="JRX290" s="3"/>
      <c r="JRY290" s="3"/>
      <c r="JRZ290" s="3"/>
      <c r="JSA290" s="3"/>
      <c r="JSB290" s="3"/>
      <c r="JSC290" s="3"/>
      <c r="JSD290" s="3"/>
      <c r="JSE290" s="3"/>
      <c r="JSF290" s="3"/>
      <c r="JSG290" s="3"/>
      <c r="JSH290" s="3"/>
      <c r="JSI290" s="3"/>
      <c r="JSJ290" s="3"/>
      <c r="JSK290" s="3"/>
      <c r="JSL290" s="3"/>
      <c r="JSM290" s="3"/>
      <c r="JSN290" s="3"/>
      <c r="JSO290" s="3"/>
      <c r="JSP290" s="3"/>
      <c r="JSQ290" s="3"/>
      <c r="JSR290" s="3"/>
      <c r="JSS290" s="3"/>
      <c r="JST290" s="3"/>
      <c r="JSU290" s="3"/>
      <c r="JSV290" s="3"/>
      <c r="JSW290" s="3"/>
      <c r="JSX290" s="3"/>
      <c r="JSY290" s="3"/>
      <c r="JSZ290" s="3"/>
      <c r="JTA290" s="3"/>
      <c r="JTB290" s="3"/>
      <c r="JTC290" s="3"/>
      <c r="JTD290" s="3"/>
      <c r="JTE290" s="3"/>
      <c r="JTF290" s="3"/>
      <c r="JTG290" s="3"/>
      <c r="JTH290" s="3"/>
      <c r="JTI290" s="3"/>
      <c r="JTJ290" s="3"/>
      <c r="JTK290" s="3"/>
      <c r="JTL290" s="3"/>
      <c r="JTM290" s="3"/>
      <c r="JTN290" s="3"/>
      <c r="JTO290" s="3"/>
      <c r="JTP290" s="3"/>
      <c r="JTQ290" s="3"/>
      <c r="JTR290" s="3"/>
      <c r="JTS290" s="3"/>
      <c r="JTT290" s="3"/>
      <c r="JTU290" s="3"/>
      <c r="JTV290" s="3"/>
      <c r="JTW290" s="3"/>
      <c r="JTX290" s="3"/>
      <c r="JTY290" s="3"/>
      <c r="JTZ290" s="3"/>
      <c r="JUA290" s="3"/>
      <c r="JUB290" s="3"/>
      <c r="JUC290" s="3"/>
      <c r="JUD290" s="3"/>
      <c r="JUE290" s="3"/>
      <c r="JUF290" s="3"/>
      <c r="JUG290" s="3"/>
      <c r="JUH290" s="3"/>
      <c r="JUI290" s="3"/>
      <c r="JUJ290" s="3"/>
      <c r="JUK290" s="3"/>
      <c r="JUL290" s="3"/>
      <c r="JUM290" s="3"/>
      <c r="JUN290" s="3"/>
      <c r="JUO290" s="3"/>
      <c r="JUP290" s="3"/>
      <c r="JUQ290" s="3"/>
      <c r="JUR290" s="3"/>
      <c r="JUS290" s="3"/>
      <c r="JUT290" s="3"/>
      <c r="JUU290" s="3"/>
      <c r="JUV290" s="3"/>
      <c r="JUW290" s="3"/>
      <c r="JUX290" s="3"/>
      <c r="JUY290" s="3"/>
      <c r="JUZ290" s="3"/>
      <c r="JVA290" s="3"/>
      <c r="JVB290" s="3"/>
      <c r="JVC290" s="3"/>
      <c r="JVD290" s="3"/>
      <c r="JVE290" s="3"/>
      <c r="JVF290" s="3"/>
      <c r="JVG290" s="3"/>
      <c r="JVH290" s="3"/>
      <c r="JVI290" s="3"/>
      <c r="JVJ290" s="3"/>
      <c r="JVK290" s="3"/>
      <c r="JVL290" s="3"/>
      <c r="JVM290" s="3"/>
      <c r="JVN290" s="3"/>
      <c r="JVO290" s="3"/>
      <c r="JVP290" s="3"/>
      <c r="JVQ290" s="3"/>
      <c r="JVR290" s="3"/>
      <c r="JVS290" s="3"/>
      <c r="JVT290" s="3"/>
      <c r="JVU290" s="3"/>
      <c r="JVV290" s="3"/>
      <c r="JVW290" s="3"/>
      <c r="JVX290" s="3"/>
      <c r="JVY290" s="3"/>
      <c r="JVZ290" s="3"/>
      <c r="JWA290" s="3"/>
      <c r="JWB290" s="3"/>
      <c r="JWC290" s="3"/>
      <c r="JWD290" s="3"/>
      <c r="JWE290" s="3"/>
      <c r="JWF290" s="3"/>
      <c r="JWG290" s="3"/>
      <c r="JWH290" s="3"/>
      <c r="JWI290" s="3"/>
      <c r="JWJ290" s="3"/>
      <c r="JWK290" s="3"/>
      <c r="JWL290" s="3"/>
      <c r="JWM290" s="3"/>
      <c r="JWN290" s="3"/>
      <c r="JWO290" s="3"/>
      <c r="JWP290" s="3"/>
      <c r="JWQ290" s="3"/>
      <c r="JWR290" s="3"/>
      <c r="JWS290" s="3"/>
      <c r="JWT290" s="3"/>
      <c r="JWU290" s="3"/>
      <c r="JWV290" s="3"/>
      <c r="JWW290" s="3"/>
      <c r="JWX290" s="3"/>
      <c r="JWY290" s="3"/>
      <c r="JWZ290" s="3"/>
      <c r="JXA290" s="3"/>
      <c r="JXB290" s="3"/>
      <c r="JXC290" s="3"/>
      <c r="JXD290" s="3"/>
      <c r="JXE290" s="3"/>
      <c r="JXF290" s="3"/>
      <c r="JXG290" s="3"/>
      <c r="JXH290" s="3"/>
      <c r="JXI290" s="3"/>
      <c r="JXJ290" s="3"/>
      <c r="JXK290" s="3"/>
      <c r="JXL290" s="3"/>
      <c r="JXM290" s="3"/>
      <c r="JXN290" s="3"/>
      <c r="JXO290" s="3"/>
      <c r="JXP290" s="3"/>
      <c r="JXQ290" s="3"/>
      <c r="JXR290" s="3"/>
      <c r="JXS290" s="3"/>
      <c r="JXT290" s="3"/>
      <c r="JXU290" s="3"/>
      <c r="JXV290" s="3"/>
      <c r="JXW290" s="3"/>
      <c r="JXX290" s="3"/>
      <c r="JXY290" s="3"/>
      <c r="JXZ290" s="3"/>
      <c r="JYA290" s="3"/>
      <c r="JYB290" s="3"/>
      <c r="JYC290" s="3"/>
      <c r="JYD290" s="3"/>
      <c r="JYE290" s="3"/>
      <c r="JYF290" s="3"/>
      <c r="JYG290" s="3"/>
      <c r="JYH290" s="3"/>
      <c r="JYI290" s="3"/>
      <c r="JYJ290" s="3"/>
      <c r="JYK290" s="3"/>
      <c r="JYL290" s="3"/>
      <c r="JYM290" s="3"/>
      <c r="JYN290" s="3"/>
      <c r="JYO290" s="3"/>
      <c r="JYP290" s="3"/>
      <c r="JYQ290" s="3"/>
      <c r="JYR290" s="3"/>
      <c r="JYS290" s="3"/>
      <c r="JYT290" s="3"/>
      <c r="JYU290" s="3"/>
      <c r="JYV290" s="3"/>
      <c r="JYW290" s="3"/>
      <c r="JYX290" s="3"/>
      <c r="JYY290" s="3"/>
      <c r="JYZ290" s="3"/>
      <c r="JZA290" s="3"/>
      <c r="JZB290" s="3"/>
      <c r="JZC290" s="3"/>
      <c r="JZD290" s="3"/>
      <c r="JZE290" s="3"/>
      <c r="JZF290" s="3"/>
      <c r="JZG290" s="3"/>
      <c r="JZH290" s="3"/>
      <c r="JZI290" s="3"/>
      <c r="JZJ290" s="3"/>
      <c r="JZK290" s="3"/>
      <c r="JZL290" s="3"/>
      <c r="JZM290" s="3"/>
      <c r="JZN290" s="3"/>
      <c r="JZO290" s="3"/>
      <c r="JZP290" s="3"/>
      <c r="JZQ290" s="3"/>
      <c r="JZR290" s="3"/>
      <c r="JZS290" s="3"/>
      <c r="JZT290" s="3"/>
      <c r="JZU290" s="3"/>
      <c r="JZV290" s="3"/>
      <c r="JZW290" s="3"/>
      <c r="JZX290" s="3"/>
      <c r="JZY290" s="3"/>
      <c r="JZZ290" s="3"/>
      <c r="KAA290" s="3"/>
      <c r="KAB290" s="3"/>
      <c r="KAC290" s="3"/>
      <c r="KAD290" s="3"/>
      <c r="KAE290" s="3"/>
      <c r="KAF290" s="3"/>
      <c r="KAG290" s="3"/>
      <c r="KAH290" s="3"/>
      <c r="KAI290" s="3"/>
      <c r="KAJ290" s="3"/>
      <c r="KAK290" s="3"/>
      <c r="KAL290" s="3"/>
      <c r="KAM290" s="3"/>
      <c r="KAN290" s="3"/>
      <c r="KAO290" s="3"/>
      <c r="KAP290" s="3"/>
      <c r="KAQ290" s="3"/>
      <c r="KAR290" s="3"/>
      <c r="KAS290" s="3"/>
      <c r="KAT290" s="3"/>
      <c r="KAU290" s="3"/>
      <c r="KAV290" s="3"/>
      <c r="KAW290" s="3"/>
      <c r="KAX290" s="3"/>
      <c r="KAY290" s="3"/>
      <c r="KAZ290" s="3"/>
      <c r="KBA290" s="3"/>
      <c r="KBB290" s="3"/>
      <c r="KBC290" s="3"/>
      <c r="KBD290" s="3"/>
      <c r="KBE290" s="3"/>
      <c r="KBF290" s="3"/>
      <c r="KBG290" s="3"/>
      <c r="KBH290" s="3"/>
      <c r="KBI290" s="3"/>
      <c r="KBJ290" s="3"/>
      <c r="KBK290" s="3"/>
      <c r="KBL290" s="3"/>
      <c r="KBM290" s="3"/>
      <c r="KBN290" s="3"/>
      <c r="KBO290" s="3"/>
      <c r="KBP290" s="3"/>
      <c r="KBQ290" s="3"/>
      <c r="KBR290" s="3"/>
      <c r="KBS290" s="3"/>
      <c r="KBT290" s="3"/>
      <c r="KBU290" s="3"/>
      <c r="KBV290" s="3"/>
      <c r="KBW290" s="3"/>
      <c r="KBX290" s="3"/>
      <c r="KBY290" s="3"/>
      <c r="KBZ290" s="3"/>
      <c r="KCA290" s="3"/>
      <c r="KCB290" s="3"/>
      <c r="KCC290" s="3"/>
      <c r="KCD290" s="3"/>
      <c r="KCE290" s="3"/>
      <c r="KCF290" s="3"/>
      <c r="KCG290" s="3"/>
      <c r="KCH290" s="3"/>
      <c r="KCI290" s="3"/>
      <c r="KCJ290" s="3"/>
      <c r="KCK290" s="3"/>
      <c r="KCL290" s="3"/>
      <c r="KCM290" s="3"/>
      <c r="KCN290" s="3"/>
      <c r="KCO290" s="3"/>
      <c r="KCP290" s="3"/>
      <c r="KCQ290" s="3"/>
      <c r="KCR290" s="3"/>
      <c r="KCS290" s="3"/>
      <c r="KCT290" s="3"/>
      <c r="KCU290" s="3"/>
      <c r="KCV290" s="3"/>
      <c r="KCW290" s="3"/>
      <c r="KCX290" s="3"/>
      <c r="KCY290" s="3"/>
      <c r="KCZ290" s="3"/>
      <c r="KDA290" s="3"/>
      <c r="KDB290" s="3"/>
      <c r="KDC290" s="3"/>
      <c r="KDD290" s="3"/>
      <c r="KDE290" s="3"/>
      <c r="KDF290" s="3"/>
      <c r="KDG290" s="3"/>
      <c r="KDH290" s="3"/>
      <c r="KDI290" s="3"/>
      <c r="KDJ290" s="3"/>
      <c r="KDK290" s="3"/>
      <c r="KDL290" s="3"/>
      <c r="KDM290" s="3"/>
      <c r="KDN290" s="3"/>
      <c r="KDO290" s="3"/>
      <c r="KDP290" s="3"/>
      <c r="KDQ290" s="3"/>
      <c r="KDR290" s="3"/>
      <c r="KDS290" s="3"/>
      <c r="KDT290" s="3"/>
      <c r="KDU290" s="3"/>
      <c r="KDV290" s="3"/>
      <c r="KDW290" s="3"/>
      <c r="KDX290" s="3"/>
      <c r="KDY290" s="3"/>
      <c r="KDZ290" s="3"/>
      <c r="KEA290" s="3"/>
      <c r="KEB290" s="3"/>
      <c r="KEC290" s="3"/>
      <c r="KED290" s="3"/>
      <c r="KEE290" s="3"/>
      <c r="KEF290" s="3"/>
      <c r="KEG290" s="3"/>
      <c r="KEH290" s="3"/>
      <c r="KEI290" s="3"/>
      <c r="KEJ290" s="3"/>
      <c r="KEK290" s="3"/>
      <c r="KEL290" s="3"/>
      <c r="KEM290" s="3"/>
      <c r="KEN290" s="3"/>
      <c r="KEO290" s="3"/>
      <c r="KEP290" s="3"/>
      <c r="KEQ290" s="3"/>
      <c r="KER290" s="3"/>
      <c r="KES290" s="3"/>
      <c r="KET290" s="3"/>
      <c r="KEU290" s="3"/>
      <c r="KEV290" s="3"/>
      <c r="KEW290" s="3"/>
      <c r="KEX290" s="3"/>
      <c r="KEY290" s="3"/>
      <c r="KEZ290" s="3"/>
      <c r="KFA290" s="3"/>
      <c r="KFB290" s="3"/>
      <c r="KFC290" s="3"/>
      <c r="KFD290" s="3"/>
      <c r="KFE290" s="3"/>
      <c r="KFF290" s="3"/>
      <c r="KFG290" s="3"/>
      <c r="KFH290" s="3"/>
      <c r="KFI290" s="3"/>
      <c r="KFJ290" s="3"/>
      <c r="KFK290" s="3"/>
      <c r="KFL290" s="3"/>
      <c r="KFM290" s="3"/>
      <c r="KFN290" s="3"/>
      <c r="KFO290" s="3"/>
      <c r="KFP290" s="3"/>
      <c r="KFQ290" s="3"/>
      <c r="KFR290" s="3"/>
      <c r="KFS290" s="3"/>
      <c r="KFT290" s="3"/>
      <c r="KFU290" s="3"/>
      <c r="KFV290" s="3"/>
      <c r="KFW290" s="3"/>
      <c r="KFX290" s="3"/>
      <c r="KFY290" s="3"/>
      <c r="KFZ290" s="3"/>
      <c r="KGA290" s="3"/>
      <c r="KGB290" s="3"/>
      <c r="KGC290" s="3"/>
      <c r="KGD290" s="3"/>
      <c r="KGE290" s="3"/>
      <c r="KGF290" s="3"/>
      <c r="KGG290" s="3"/>
      <c r="KGH290" s="3"/>
      <c r="KGI290" s="3"/>
      <c r="KGJ290" s="3"/>
      <c r="KGK290" s="3"/>
      <c r="KGL290" s="3"/>
      <c r="KGM290" s="3"/>
      <c r="KGN290" s="3"/>
      <c r="KGO290" s="3"/>
      <c r="KGP290" s="3"/>
      <c r="KGQ290" s="3"/>
      <c r="KGR290" s="3"/>
      <c r="KGS290" s="3"/>
      <c r="KGT290" s="3"/>
      <c r="KGU290" s="3"/>
      <c r="KGV290" s="3"/>
      <c r="KGW290" s="3"/>
      <c r="KGX290" s="3"/>
      <c r="KGY290" s="3"/>
      <c r="KGZ290" s="3"/>
      <c r="KHA290" s="3"/>
      <c r="KHB290" s="3"/>
      <c r="KHC290" s="3"/>
      <c r="KHD290" s="3"/>
      <c r="KHE290" s="3"/>
      <c r="KHF290" s="3"/>
      <c r="KHG290" s="3"/>
      <c r="KHH290" s="3"/>
      <c r="KHI290" s="3"/>
      <c r="KHJ290" s="3"/>
      <c r="KHK290" s="3"/>
      <c r="KHL290" s="3"/>
      <c r="KHM290" s="3"/>
      <c r="KHN290" s="3"/>
      <c r="KHO290" s="3"/>
      <c r="KHP290" s="3"/>
      <c r="KHQ290" s="3"/>
      <c r="KHR290" s="3"/>
      <c r="KHS290" s="3"/>
      <c r="KHT290" s="3"/>
      <c r="KHU290" s="3"/>
      <c r="KHV290" s="3"/>
      <c r="KHW290" s="3"/>
      <c r="KHX290" s="3"/>
      <c r="KHY290" s="3"/>
      <c r="KHZ290" s="3"/>
      <c r="KIA290" s="3"/>
      <c r="KIB290" s="3"/>
      <c r="KIC290" s="3"/>
      <c r="KID290" s="3"/>
      <c r="KIE290" s="3"/>
      <c r="KIF290" s="3"/>
      <c r="KIG290" s="3"/>
      <c r="KIH290" s="3"/>
      <c r="KII290" s="3"/>
      <c r="KIJ290" s="3"/>
      <c r="KIK290" s="3"/>
      <c r="KIL290" s="3"/>
      <c r="KIM290" s="3"/>
      <c r="KIN290" s="3"/>
      <c r="KIO290" s="3"/>
      <c r="KIP290" s="3"/>
      <c r="KIQ290" s="3"/>
      <c r="KIR290" s="3"/>
      <c r="KIS290" s="3"/>
      <c r="KIT290" s="3"/>
      <c r="KIU290" s="3"/>
      <c r="KIV290" s="3"/>
      <c r="KIW290" s="3"/>
      <c r="KIX290" s="3"/>
      <c r="KIY290" s="3"/>
      <c r="KIZ290" s="3"/>
      <c r="KJA290" s="3"/>
      <c r="KJB290" s="3"/>
      <c r="KJC290" s="3"/>
      <c r="KJD290" s="3"/>
      <c r="KJE290" s="3"/>
      <c r="KJF290" s="3"/>
      <c r="KJG290" s="3"/>
      <c r="KJH290" s="3"/>
      <c r="KJI290" s="3"/>
      <c r="KJJ290" s="3"/>
      <c r="KJK290" s="3"/>
      <c r="KJL290" s="3"/>
      <c r="KJM290" s="3"/>
      <c r="KJN290" s="3"/>
      <c r="KJO290" s="3"/>
      <c r="KJP290" s="3"/>
      <c r="KJQ290" s="3"/>
      <c r="KJR290" s="3"/>
      <c r="KJS290" s="3"/>
      <c r="KJT290" s="3"/>
      <c r="KJU290" s="3"/>
      <c r="KJV290" s="3"/>
      <c r="KJW290" s="3"/>
      <c r="KJX290" s="3"/>
      <c r="KJY290" s="3"/>
      <c r="KJZ290" s="3"/>
      <c r="KKA290" s="3"/>
      <c r="KKB290" s="3"/>
      <c r="KKC290" s="3"/>
      <c r="KKD290" s="3"/>
      <c r="KKE290" s="3"/>
      <c r="KKF290" s="3"/>
      <c r="KKG290" s="3"/>
      <c r="KKH290" s="3"/>
      <c r="KKI290" s="3"/>
      <c r="KKJ290" s="3"/>
      <c r="KKK290" s="3"/>
      <c r="KKL290" s="3"/>
      <c r="KKM290" s="3"/>
      <c r="KKN290" s="3"/>
      <c r="KKO290" s="3"/>
      <c r="KKP290" s="3"/>
      <c r="KKQ290" s="3"/>
      <c r="KKR290" s="3"/>
      <c r="KKS290" s="3"/>
      <c r="KKT290" s="3"/>
      <c r="KKU290" s="3"/>
      <c r="KKV290" s="3"/>
      <c r="KKW290" s="3"/>
      <c r="KKX290" s="3"/>
      <c r="KKY290" s="3"/>
      <c r="KKZ290" s="3"/>
      <c r="KLA290" s="3"/>
      <c r="KLB290" s="3"/>
      <c r="KLC290" s="3"/>
      <c r="KLD290" s="3"/>
      <c r="KLE290" s="3"/>
      <c r="KLF290" s="3"/>
      <c r="KLG290" s="3"/>
      <c r="KLH290" s="3"/>
      <c r="KLI290" s="3"/>
      <c r="KLJ290" s="3"/>
      <c r="KLK290" s="3"/>
      <c r="KLL290" s="3"/>
      <c r="KLM290" s="3"/>
      <c r="KLN290" s="3"/>
      <c r="KLO290" s="3"/>
      <c r="KLP290" s="3"/>
      <c r="KLQ290" s="3"/>
      <c r="KLR290" s="3"/>
      <c r="KLS290" s="3"/>
      <c r="KLT290" s="3"/>
      <c r="KLU290" s="3"/>
      <c r="KLV290" s="3"/>
      <c r="KLW290" s="3"/>
      <c r="KLX290" s="3"/>
      <c r="KLY290" s="3"/>
      <c r="KLZ290" s="3"/>
      <c r="KMA290" s="3"/>
      <c r="KMB290" s="3"/>
      <c r="KMC290" s="3"/>
      <c r="KMD290" s="3"/>
      <c r="KME290" s="3"/>
      <c r="KMF290" s="3"/>
      <c r="KMG290" s="3"/>
      <c r="KMH290" s="3"/>
      <c r="KMI290" s="3"/>
      <c r="KMJ290" s="3"/>
      <c r="KMK290" s="3"/>
      <c r="KML290" s="3"/>
      <c r="KMM290" s="3"/>
      <c r="KMN290" s="3"/>
      <c r="KMO290" s="3"/>
      <c r="KMP290" s="3"/>
      <c r="KMQ290" s="3"/>
      <c r="KMR290" s="3"/>
      <c r="KMS290" s="3"/>
      <c r="KMT290" s="3"/>
      <c r="KMU290" s="3"/>
      <c r="KMV290" s="3"/>
      <c r="KMW290" s="3"/>
      <c r="KMX290" s="3"/>
      <c r="KMY290" s="3"/>
      <c r="KMZ290" s="3"/>
      <c r="KNA290" s="3"/>
      <c r="KNB290" s="3"/>
      <c r="KNC290" s="3"/>
      <c r="KND290" s="3"/>
      <c r="KNE290" s="3"/>
      <c r="KNF290" s="3"/>
      <c r="KNG290" s="3"/>
      <c r="KNH290" s="3"/>
      <c r="KNI290" s="3"/>
      <c r="KNJ290" s="3"/>
      <c r="KNK290" s="3"/>
      <c r="KNL290" s="3"/>
      <c r="KNM290" s="3"/>
      <c r="KNN290" s="3"/>
      <c r="KNO290" s="3"/>
      <c r="KNP290" s="3"/>
      <c r="KNQ290" s="3"/>
      <c r="KNR290" s="3"/>
      <c r="KNS290" s="3"/>
      <c r="KNT290" s="3"/>
      <c r="KNU290" s="3"/>
      <c r="KNV290" s="3"/>
      <c r="KNW290" s="3"/>
      <c r="KNX290" s="3"/>
      <c r="KNY290" s="3"/>
      <c r="KNZ290" s="3"/>
      <c r="KOA290" s="3"/>
      <c r="KOB290" s="3"/>
      <c r="KOC290" s="3"/>
      <c r="KOD290" s="3"/>
      <c r="KOE290" s="3"/>
      <c r="KOF290" s="3"/>
      <c r="KOG290" s="3"/>
      <c r="KOH290" s="3"/>
      <c r="KOI290" s="3"/>
      <c r="KOJ290" s="3"/>
      <c r="KOK290" s="3"/>
      <c r="KOL290" s="3"/>
      <c r="KOM290" s="3"/>
      <c r="KON290" s="3"/>
      <c r="KOO290" s="3"/>
      <c r="KOP290" s="3"/>
      <c r="KOQ290" s="3"/>
      <c r="KOR290" s="3"/>
      <c r="KOS290" s="3"/>
      <c r="KOT290" s="3"/>
      <c r="KOU290" s="3"/>
      <c r="KOV290" s="3"/>
      <c r="KOW290" s="3"/>
      <c r="KOX290" s="3"/>
      <c r="KOY290" s="3"/>
      <c r="KOZ290" s="3"/>
      <c r="KPA290" s="3"/>
      <c r="KPB290" s="3"/>
      <c r="KPC290" s="3"/>
      <c r="KPD290" s="3"/>
      <c r="KPE290" s="3"/>
      <c r="KPF290" s="3"/>
      <c r="KPG290" s="3"/>
      <c r="KPH290" s="3"/>
      <c r="KPI290" s="3"/>
      <c r="KPJ290" s="3"/>
      <c r="KPK290" s="3"/>
      <c r="KPL290" s="3"/>
      <c r="KPM290" s="3"/>
      <c r="KPN290" s="3"/>
      <c r="KPO290" s="3"/>
      <c r="KPP290" s="3"/>
      <c r="KPQ290" s="3"/>
      <c r="KPR290" s="3"/>
      <c r="KPS290" s="3"/>
      <c r="KPT290" s="3"/>
      <c r="KPU290" s="3"/>
      <c r="KPV290" s="3"/>
      <c r="KPW290" s="3"/>
      <c r="KPX290" s="3"/>
      <c r="KPY290" s="3"/>
      <c r="KPZ290" s="3"/>
      <c r="KQA290" s="3"/>
      <c r="KQB290" s="3"/>
      <c r="KQC290" s="3"/>
      <c r="KQD290" s="3"/>
      <c r="KQE290" s="3"/>
      <c r="KQF290" s="3"/>
      <c r="KQG290" s="3"/>
      <c r="KQH290" s="3"/>
      <c r="KQI290" s="3"/>
      <c r="KQJ290" s="3"/>
      <c r="KQK290" s="3"/>
      <c r="KQL290" s="3"/>
      <c r="KQM290" s="3"/>
      <c r="KQN290" s="3"/>
      <c r="KQO290" s="3"/>
      <c r="KQP290" s="3"/>
      <c r="KQQ290" s="3"/>
      <c r="KQR290" s="3"/>
      <c r="KQS290" s="3"/>
      <c r="KQT290" s="3"/>
      <c r="KQU290" s="3"/>
      <c r="KQV290" s="3"/>
      <c r="KQW290" s="3"/>
      <c r="KQX290" s="3"/>
      <c r="KQY290" s="3"/>
      <c r="KQZ290" s="3"/>
      <c r="KRA290" s="3"/>
      <c r="KRB290" s="3"/>
      <c r="KRC290" s="3"/>
      <c r="KRD290" s="3"/>
      <c r="KRE290" s="3"/>
      <c r="KRF290" s="3"/>
      <c r="KRG290" s="3"/>
      <c r="KRH290" s="3"/>
      <c r="KRI290" s="3"/>
      <c r="KRJ290" s="3"/>
      <c r="KRK290" s="3"/>
      <c r="KRL290" s="3"/>
      <c r="KRM290" s="3"/>
      <c r="KRN290" s="3"/>
      <c r="KRO290" s="3"/>
      <c r="KRP290" s="3"/>
      <c r="KRQ290" s="3"/>
      <c r="KRR290" s="3"/>
      <c r="KRS290" s="3"/>
      <c r="KRT290" s="3"/>
      <c r="KRU290" s="3"/>
      <c r="KRV290" s="3"/>
      <c r="KRW290" s="3"/>
      <c r="KRX290" s="3"/>
      <c r="KRY290" s="3"/>
      <c r="KRZ290" s="3"/>
      <c r="KSA290" s="3"/>
      <c r="KSB290" s="3"/>
      <c r="KSC290" s="3"/>
      <c r="KSD290" s="3"/>
      <c r="KSE290" s="3"/>
      <c r="KSF290" s="3"/>
      <c r="KSG290" s="3"/>
      <c r="KSH290" s="3"/>
      <c r="KSI290" s="3"/>
      <c r="KSJ290" s="3"/>
      <c r="KSK290" s="3"/>
      <c r="KSL290" s="3"/>
      <c r="KSM290" s="3"/>
      <c r="KSN290" s="3"/>
      <c r="KSO290" s="3"/>
      <c r="KSP290" s="3"/>
      <c r="KSQ290" s="3"/>
      <c r="KSR290" s="3"/>
      <c r="KSS290" s="3"/>
      <c r="KST290" s="3"/>
      <c r="KSU290" s="3"/>
      <c r="KSV290" s="3"/>
      <c r="KSW290" s="3"/>
      <c r="KSX290" s="3"/>
      <c r="KSY290" s="3"/>
      <c r="KSZ290" s="3"/>
      <c r="KTA290" s="3"/>
      <c r="KTB290" s="3"/>
      <c r="KTC290" s="3"/>
      <c r="KTD290" s="3"/>
      <c r="KTE290" s="3"/>
      <c r="KTF290" s="3"/>
      <c r="KTG290" s="3"/>
      <c r="KTH290" s="3"/>
      <c r="KTI290" s="3"/>
      <c r="KTJ290" s="3"/>
      <c r="KTK290" s="3"/>
      <c r="KTL290" s="3"/>
      <c r="KTM290" s="3"/>
      <c r="KTN290" s="3"/>
      <c r="KTO290" s="3"/>
      <c r="KTP290" s="3"/>
      <c r="KTQ290" s="3"/>
      <c r="KTR290" s="3"/>
      <c r="KTS290" s="3"/>
      <c r="KTT290" s="3"/>
      <c r="KTU290" s="3"/>
      <c r="KTV290" s="3"/>
      <c r="KTW290" s="3"/>
      <c r="KTX290" s="3"/>
      <c r="KTY290" s="3"/>
      <c r="KTZ290" s="3"/>
      <c r="KUA290" s="3"/>
      <c r="KUB290" s="3"/>
      <c r="KUC290" s="3"/>
      <c r="KUD290" s="3"/>
      <c r="KUE290" s="3"/>
      <c r="KUF290" s="3"/>
      <c r="KUG290" s="3"/>
      <c r="KUH290" s="3"/>
      <c r="KUI290" s="3"/>
      <c r="KUJ290" s="3"/>
      <c r="KUK290" s="3"/>
      <c r="KUL290" s="3"/>
      <c r="KUM290" s="3"/>
      <c r="KUN290" s="3"/>
      <c r="KUO290" s="3"/>
      <c r="KUP290" s="3"/>
      <c r="KUQ290" s="3"/>
      <c r="KUR290" s="3"/>
      <c r="KUS290" s="3"/>
      <c r="KUT290" s="3"/>
      <c r="KUU290" s="3"/>
      <c r="KUV290" s="3"/>
      <c r="KUW290" s="3"/>
      <c r="KUX290" s="3"/>
      <c r="KUY290" s="3"/>
      <c r="KUZ290" s="3"/>
      <c r="KVA290" s="3"/>
      <c r="KVB290" s="3"/>
      <c r="KVC290" s="3"/>
      <c r="KVD290" s="3"/>
      <c r="KVE290" s="3"/>
      <c r="KVF290" s="3"/>
      <c r="KVG290" s="3"/>
      <c r="KVH290" s="3"/>
      <c r="KVI290" s="3"/>
      <c r="KVJ290" s="3"/>
      <c r="KVK290" s="3"/>
      <c r="KVL290" s="3"/>
      <c r="KVM290" s="3"/>
      <c r="KVN290" s="3"/>
      <c r="KVO290" s="3"/>
      <c r="KVP290" s="3"/>
      <c r="KVQ290" s="3"/>
      <c r="KVR290" s="3"/>
      <c r="KVS290" s="3"/>
      <c r="KVT290" s="3"/>
      <c r="KVU290" s="3"/>
      <c r="KVV290" s="3"/>
      <c r="KVW290" s="3"/>
      <c r="KVX290" s="3"/>
      <c r="KVY290" s="3"/>
      <c r="KVZ290" s="3"/>
      <c r="KWA290" s="3"/>
      <c r="KWB290" s="3"/>
      <c r="KWC290" s="3"/>
      <c r="KWD290" s="3"/>
      <c r="KWE290" s="3"/>
      <c r="KWF290" s="3"/>
      <c r="KWG290" s="3"/>
      <c r="KWH290" s="3"/>
      <c r="KWI290" s="3"/>
      <c r="KWJ290" s="3"/>
      <c r="KWK290" s="3"/>
      <c r="KWL290" s="3"/>
      <c r="KWM290" s="3"/>
      <c r="KWN290" s="3"/>
      <c r="KWO290" s="3"/>
      <c r="KWP290" s="3"/>
      <c r="KWQ290" s="3"/>
      <c r="KWR290" s="3"/>
      <c r="KWS290" s="3"/>
      <c r="KWT290" s="3"/>
      <c r="KWU290" s="3"/>
      <c r="KWV290" s="3"/>
      <c r="KWW290" s="3"/>
      <c r="KWX290" s="3"/>
      <c r="KWY290" s="3"/>
      <c r="KWZ290" s="3"/>
      <c r="KXA290" s="3"/>
      <c r="KXB290" s="3"/>
      <c r="KXC290" s="3"/>
      <c r="KXD290" s="3"/>
      <c r="KXE290" s="3"/>
      <c r="KXF290" s="3"/>
      <c r="KXG290" s="3"/>
      <c r="KXH290" s="3"/>
      <c r="KXI290" s="3"/>
      <c r="KXJ290" s="3"/>
      <c r="KXK290" s="3"/>
      <c r="KXL290" s="3"/>
      <c r="KXM290" s="3"/>
      <c r="KXN290" s="3"/>
      <c r="KXO290" s="3"/>
      <c r="KXP290" s="3"/>
      <c r="KXQ290" s="3"/>
      <c r="KXR290" s="3"/>
      <c r="KXS290" s="3"/>
      <c r="KXT290" s="3"/>
      <c r="KXU290" s="3"/>
      <c r="KXV290" s="3"/>
      <c r="KXW290" s="3"/>
      <c r="KXX290" s="3"/>
      <c r="KXY290" s="3"/>
      <c r="KXZ290" s="3"/>
      <c r="KYA290" s="3"/>
      <c r="KYB290" s="3"/>
      <c r="KYC290" s="3"/>
      <c r="KYD290" s="3"/>
      <c r="KYE290" s="3"/>
      <c r="KYF290" s="3"/>
      <c r="KYG290" s="3"/>
      <c r="KYH290" s="3"/>
      <c r="KYI290" s="3"/>
      <c r="KYJ290" s="3"/>
      <c r="KYK290" s="3"/>
      <c r="KYL290" s="3"/>
      <c r="KYM290" s="3"/>
      <c r="KYN290" s="3"/>
      <c r="KYO290" s="3"/>
      <c r="KYP290" s="3"/>
      <c r="KYQ290" s="3"/>
      <c r="KYR290" s="3"/>
      <c r="KYS290" s="3"/>
      <c r="KYT290" s="3"/>
      <c r="KYU290" s="3"/>
      <c r="KYV290" s="3"/>
      <c r="KYW290" s="3"/>
      <c r="KYX290" s="3"/>
      <c r="KYY290" s="3"/>
      <c r="KYZ290" s="3"/>
      <c r="KZA290" s="3"/>
      <c r="KZB290" s="3"/>
      <c r="KZC290" s="3"/>
      <c r="KZD290" s="3"/>
      <c r="KZE290" s="3"/>
      <c r="KZF290" s="3"/>
      <c r="KZG290" s="3"/>
      <c r="KZH290" s="3"/>
      <c r="KZI290" s="3"/>
      <c r="KZJ290" s="3"/>
      <c r="KZK290" s="3"/>
      <c r="KZL290" s="3"/>
      <c r="KZM290" s="3"/>
      <c r="KZN290" s="3"/>
      <c r="KZO290" s="3"/>
      <c r="KZP290" s="3"/>
      <c r="KZQ290" s="3"/>
      <c r="KZR290" s="3"/>
      <c r="KZS290" s="3"/>
      <c r="KZT290" s="3"/>
      <c r="KZU290" s="3"/>
      <c r="KZV290" s="3"/>
      <c r="KZW290" s="3"/>
      <c r="KZX290" s="3"/>
      <c r="KZY290" s="3"/>
      <c r="KZZ290" s="3"/>
      <c r="LAA290" s="3"/>
      <c r="LAB290" s="3"/>
      <c r="LAC290" s="3"/>
      <c r="LAD290" s="3"/>
      <c r="LAE290" s="3"/>
      <c r="LAF290" s="3"/>
      <c r="LAG290" s="3"/>
      <c r="LAH290" s="3"/>
      <c r="LAI290" s="3"/>
      <c r="LAJ290" s="3"/>
      <c r="LAK290" s="3"/>
      <c r="LAL290" s="3"/>
      <c r="LAM290" s="3"/>
      <c r="LAN290" s="3"/>
      <c r="LAO290" s="3"/>
      <c r="LAP290" s="3"/>
      <c r="LAQ290" s="3"/>
      <c r="LAR290" s="3"/>
      <c r="LAS290" s="3"/>
      <c r="LAT290" s="3"/>
      <c r="LAU290" s="3"/>
      <c r="LAV290" s="3"/>
      <c r="LAW290" s="3"/>
      <c r="LAX290" s="3"/>
      <c r="LAY290" s="3"/>
      <c r="LAZ290" s="3"/>
      <c r="LBA290" s="3"/>
      <c r="LBB290" s="3"/>
      <c r="LBC290" s="3"/>
      <c r="LBD290" s="3"/>
      <c r="LBE290" s="3"/>
      <c r="LBF290" s="3"/>
      <c r="LBG290" s="3"/>
      <c r="LBH290" s="3"/>
      <c r="LBI290" s="3"/>
      <c r="LBJ290" s="3"/>
      <c r="LBK290" s="3"/>
      <c r="LBL290" s="3"/>
      <c r="LBM290" s="3"/>
      <c r="LBN290" s="3"/>
      <c r="LBO290" s="3"/>
      <c r="LBP290" s="3"/>
      <c r="LBQ290" s="3"/>
      <c r="LBR290" s="3"/>
      <c r="LBS290" s="3"/>
      <c r="LBT290" s="3"/>
      <c r="LBU290" s="3"/>
      <c r="LBV290" s="3"/>
      <c r="LBW290" s="3"/>
      <c r="LBX290" s="3"/>
      <c r="LBY290" s="3"/>
      <c r="LBZ290" s="3"/>
      <c r="LCA290" s="3"/>
      <c r="LCB290" s="3"/>
      <c r="LCC290" s="3"/>
      <c r="LCD290" s="3"/>
      <c r="LCE290" s="3"/>
      <c r="LCF290" s="3"/>
      <c r="LCG290" s="3"/>
      <c r="LCH290" s="3"/>
      <c r="LCI290" s="3"/>
      <c r="LCJ290" s="3"/>
      <c r="LCK290" s="3"/>
      <c r="LCL290" s="3"/>
      <c r="LCM290" s="3"/>
      <c r="LCN290" s="3"/>
      <c r="LCO290" s="3"/>
      <c r="LCP290" s="3"/>
      <c r="LCQ290" s="3"/>
      <c r="LCR290" s="3"/>
      <c r="LCS290" s="3"/>
      <c r="LCT290" s="3"/>
      <c r="LCU290" s="3"/>
      <c r="LCV290" s="3"/>
      <c r="LCW290" s="3"/>
      <c r="LCX290" s="3"/>
      <c r="LCY290" s="3"/>
      <c r="LCZ290" s="3"/>
      <c r="LDA290" s="3"/>
      <c r="LDB290" s="3"/>
      <c r="LDC290" s="3"/>
      <c r="LDD290" s="3"/>
      <c r="LDE290" s="3"/>
      <c r="LDF290" s="3"/>
      <c r="LDG290" s="3"/>
      <c r="LDH290" s="3"/>
      <c r="LDI290" s="3"/>
      <c r="LDJ290" s="3"/>
      <c r="LDK290" s="3"/>
      <c r="LDL290" s="3"/>
      <c r="LDM290" s="3"/>
      <c r="LDN290" s="3"/>
      <c r="LDO290" s="3"/>
      <c r="LDP290" s="3"/>
      <c r="LDQ290" s="3"/>
      <c r="LDR290" s="3"/>
      <c r="LDS290" s="3"/>
      <c r="LDT290" s="3"/>
      <c r="LDU290" s="3"/>
      <c r="LDV290" s="3"/>
      <c r="LDW290" s="3"/>
      <c r="LDX290" s="3"/>
      <c r="LDY290" s="3"/>
      <c r="LDZ290" s="3"/>
      <c r="LEA290" s="3"/>
      <c r="LEB290" s="3"/>
      <c r="LEC290" s="3"/>
      <c r="LED290" s="3"/>
      <c r="LEE290" s="3"/>
      <c r="LEF290" s="3"/>
      <c r="LEG290" s="3"/>
      <c r="LEH290" s="3"/>
      <c r="LEI290" s="3"/>
      <c r="LEJ290" s="3"/>
      <c r="LEK290" s="3"/>
      <c r="LEL290" s="3"/>
      <c r="LEM290" s="3"/>
      <c r="LEN290" s="3"/>
      <c r="LEO290" s="3"/>
      <c r="LEP290" s="3"/>
      <c r="LEQ290" s="3"/>
      <c r="LER290" s="3"/>
      <c r="LES290" s="3"/>
      <c r="LET290" s="3"/>
      <c r="LEU290" s="3"/>
      <c r="LEV290" s="3"/>
      <c r="LEW290" s="3"/>
      <c r="LEX290" s="3"/>
      <c r="LEY290" s="3"/>
      <c r="LEZ290" s="3"/>
      <c r="LFA290" s="3"/>
      <c r="LFB290" s="3"/>
      <c r="LFC290" s="3"/>
      <c r="LFD290" s="3"/>
      <c r="LFE290" s="3"/>
      <c r="LFF290" s="3"/>
      <c r="LFG290" s="3"/>
      <c r="LFH290" s="3"/>
      <c r="LFI290" s="3"/>
      <c r="LFJ290" s="3"/>
      <c r="LFK290" s="3"/>
      <c r="LFL290" s="3"/>
      <c r="LFM290" s="3"/>
      <c r="LFN290" s="3"/>
      <c r="LFO290" s="3"/>
      <c r="LFP290" s="3"/>
      <c r="LFQ290" s="3"/>
      <c r="LFR290" s="3"/>
      <c r="LFS290" s="3"/>
      <c r="LFT290" s="3"/>
      <c r="LFU290" s="3"/>
      <c r="LFV290" s="3"/>
      <c r="LFW290" s="3"/>
      <c r="LFX290" s="3"/>
      <c r="LFY290" s="3"/>
      <c r="LFZ290" s="3"/>
      <c r="LGA290" s="3"/>
      <c r="LGB290" s="3"/>
      <c r="LGC290" s="3"/>
      <c r="LGD290" s="3"/>
      <c r="LGE290" s="3"/>
      <c r="LGF290" s="3"/>
      <c r="LGG290" s="3"/>
      <c r="LGH290" s="3"/>
      <c r="LGI290" s="3"/>
      <c r="LGJ290" s="3"/>
      <c r="LGK290" s="3"/>
      <c r="LGL290" s="3"/>
      <c r="LGM290" s="3"/>
      <c r="LGN290" s="3"/>
      <c r="LGO290" s="3"/>
      <c r="LGP290" s="3"/>
      <c r="LGQ290" s="3"/>
      <c r="LGR290" s="3"/>
      <c r="LGS290" s="3"/>
      <c r="LGT290" s="3"/>
      <c r="LGU290" s="3"/>
      <c r="LGV290" s="3"/>
      <c r="LGW290" s="3"/>
      <c r="LGX290" s="3"/>
      <c r="LGY290" s="3"/>
      <c r="LGZ290" s="3"/>
      <c r="LHA290" s="3"/>
      <c r="LHB290" s="3"/>
      <c r="LHC290" s="3"/>
      <c r="LHD290" s="3"/>
      <c r="LHE290" s="3"/>
      <c r="LHF290" s="3"/>
      <c r="LHG290" s="3"/>
      <c r="LHH290" s="3"/>
      <c r="LHI290" s="3"/>
      <c r="LHJ290" s="3"/>
      <c r="LHK290" s="3"/>
      <c r="LHL290" s="3"/>
      <c r="LHM290" s="3"/>
      <c r="LHN290" s="3"/>
      <c r="LHO290" s="3"/>
      <c r="LHP290" s="3"/>
      <c r="LHQ290" s="3"/>
      <c r="LHR290" s="3"/>
      <c r="LHS290" s="3"/>
      <c r="LHT290" s="3"/>
      <c r="LHU290" s="3"/>
      <c r="LHV290" s="3"/>
      <c r="LHW290" s="3"/>
      <c r="LHX290" s="3"/>
      <c r="LHY290" s="3"/>
      <c r="LHZ290" s="3"/>
      <c r="LIA290" s="3"/>
      <c r="LIB290" s="3"/>
      <c r="LIC290" s="3"/>
      <c r="LID290" s="3"/>
      <c r="LIE290" s="3"/>
      <c r="LIF290" s="3"/>
      <c r="LIG290" s="3"/>
      <c r="LIH290" s="3"/>
      <c r="LII290" s="3"/>
      <c r="LIJ290" s="3"/>
      <c r="LIK290" s="3"/>
      <c r="LIL290" s="3"/>
      <c r="LIM290" s="3"/>
      <c r="LIN290" s="3"/>
      <c r="LIO290" s="3"/>
      <c r="LIP290" s="3"/>
      <c r="LIQ290" s="3"/>
      <c r="LIR290" s="3"/>
      <c r="LIS290" s="3"/>
      <c r="LIT290" s="3"/>
      <c r="LIU290" s="3"/>
      <c r="LIV290" s="3"/>
      <c r="LIW290" s="3"/>
      <c r="LIX290" s="3"/>
      <c r="LIY290" s="3"/>
      <c r="LIZ290" s="3"/>
      <c r="LJA290" s="3"/>
      <c r="LJB290" s="3"/>
      <c r="LJC290" s="3"/>
      <c r="LJD290" s="3"/>
      <c r="LJE290" s="3"/>
      <c r="LJF290" s="3"/>
      <c r="LJG290" s="3"/>
      <c r="LJH290" s="3"/>
      <c r="LJI290" s="3"/>
      <c r="LJJ290" s="3"/>
      <c r="LJK290" s="3"/>
      <c r="LJL290" s="3"/>
      <c r="LJM290" s="3"/>
      <c r="LJN290" s="3"/>
      <c r="LJO290" s="3"/>
      <c r="LJP290" s="3"/>
      <c r="LJQ290" s="3"/>
      <c r="LJR290" s="3"/>
      <c r="LJS290" s="3"/>
      <c r="LJT290" s="3"/>
      <c r="LJU290" s="3"/>
      <c r="LJV290" s="3"/>
      <c r="LJW290" s="3"/>
      <c r="LJX290" s="3"/>
      <c r="LJY290" s="3"/>
      <c r="LJZ290" s="3"/>
      <c r="LKA290" s="3"/>
      <c r="LKB290" s="3"/>
      <c r="LKC290" s="3"/>
      <c r="LKD290" s="3"/>
      <c r="LKE290" s="3"/>
      <c r="LKF290" s="3"/>
      <c r="LKG290" s="3"/>
      <c r="LKH290" s="3"/>
      <c r="LKI290" s="3"/>
      <c r="LKJ290" s="3"/>
      <c r="LKK290" s="3"/>
      <c r="LKL290" s="3"/>
      <c r="LKM290" s="3"/>
      <c r="LKN290" s="3"/>
      <c r="LKO290" s="3"/>
      <c r="LKP290" s="3"/>
      <c r="LKQ290" s="3"/>
      <c r="LKR290" s="3"/>
      <c r="LKS290" s="3"/>
      <c r="LKT290" s="3"/>
      <c r="LKU290" s="3"/>
      <c r="LKV290" s="3"/>
      <c r="LKW290" s="3"/>
      <c r="LKX290" s="3"/>
      <c r="LKY290" s="3"/>
      <c r="LKZ290" s="3"/>
      <c r="LLA290" s="3"/>
      <c r="LLB290" s="3"/>
      <c r="LLC290" s="3"/>
      <c r="LLD290" s="3"/>
      <c r="LLE290" s="3"/>
      <c r="LLF290" s="3"/>
      <c r="LLG290" s="3"/>
      <c r="LLH290" s="3"/>
      <c r="LLI290" s="3"/>
      <c r="LLJ290" s="3"/>
      <c r="LLK290" s="3"/>
      <c r="LLL290" s="3"/>
      <c r="LLM290" s="3"/>
      <c r="LLN290" s="3"/>
      <c r="LLO290" s="3"/>
      <c r="LLP290" s="3"/>
      <c r="LLQ290" s="3"/>
      <c r="LLR290" s="3"/>
      <c r="LLS290" s="3"/>
      <c r="LLT290" s="3"/>
      <c r="LLU290" s="3"/>
      <c r="LLV290" s="3"/>
      <c r="LLW290" s="3"/>
      <c r="LLX290" s="3"/>
      <c r="LLY290" s="3"/>
      <c r="LLZ290" s="3"/>
      <c r="LMA290" s="3"/>
      <c r="LMB290" s="3"/>
      <c r="LMC290" s="3"/>
      <c r="LMD290" s="3"/>
      <c r="LME290" s="3"/>
      <c r="LMF290" s="3"/>
      <c r="LMG290" s="3"/>
      <c r="LMH290" s="3"/>
      <c r="LMI290" s="3"/>
      <c r="LMJ290" s="3"/>
      <c r="LMK290" s="3"/>
      <c r="LML290" s="3"/>
      <c r="LMM290" s="3"/>
      <c r="LMN290" s="3"/>
      <c r="LMO290" s="3"/>
      <c r="LMP290" s="3"/>
      <c r="LMQ290" s="3"/>
      <c r="LMR290" s="3"/>
      <c r="LMS290" s="3"/>
      <c r="LMT290" s="3"/>
      <c r="LMU290" s="3"/>
      <c r="LMV290" s="3"/>
      <c r="LMW290" s="3"/>
      <c r="LMX290" s="3"/>
      <c r="LMY290" s="3"/>
      <c r="LMZ290" s="3"/>
      <c r="LNA290" s="3"/>
      <c r="LNB290" s="3"/>
      <c r="LNC290" s="3"/>
      <c r="LND290" s="3"/>
      <c r="LNE290" s="3"/>
      <c r="LNF290" s="3"/>
      <c r="LNG290" s="3"/>
      <c r="LNH290" s="3"/>
      <c r="LNI290" s="3"/>
      <c r="LNJ290" s="3"/>
      <c r="LNK290" s="3"/>
      <c r="LNL290" s="3"/>
      <c r="LNM290" s="3"/>
      <c r="LNN290" s="3"/>
      <c r="LNO290" s="3"/>
      <c r="LNP290" s="3"/>
      <c r="LNQ290" s="3"/>
      <c r="LNR290" s="3"/>
      <c r="LNS290" s="3"/>
      <c r="LNT290" s="3"/>
      <c r="LNU290" s="3"/>
      <c r="LNV290" s="3"/>
      <c r="LNW290" s="3"/>
      <c r="LNX290" s="3"/>
      <c r="LNY290" s="3"/>
      <c r="LNZ290" s="3"/>
      <c r="LOA290" s="3"/>
      <c r="LOB290" s="3"/>
      <c r="LOC290" s="3"/>
      <c r="LOD290" s="3"/>
      <c r="LOE290" s="3"/>
      <c r="LOF290" s="3"/>
      <c r="LOG290" s="3"/>
      <c r="LOH290" s="3"/>
      <c r="LOI290" s="3"/>
      <c r="LOJ290" s="3"/>
      <c r="LOK290" s="3"/>
      <c r="LOL290" s="3"/>
      <c r="LOM290" s="3"/>
      <c r="LON290" s="3"/>
      <c r="LOO290" s="3"/>
      <c r="LOP290" s="3"/>
      <c r="LOQ290" s="3"/>
      <c r="LOR290" s="3"/>
      <c r="LOS290" s="3"/>
      <c r="LOT290" s="3"/>
      <c r="LOU290" s="3"/>
      <c r="LOV290" s="3"/>
      <c r="LOW290" s="3"/>
      <c r="LOX290" s="3"/>
      <c r="LOY290" s="3"/>
      <c r="LOZ290" s="3"/>
      <c r="LPA290" s="3"/>
      <c r="LPB290" s="3"/>
      <c r="LPC290" s="3"/>
      <c r="LPD290" s="3"/>
      <c r="LPE290" s="3"/>
      <c r="LPF290" s="3"/>
      <c r="LPG290" s="3"/>
      <c r="LPH290" s="3"/>
      <c r="LPI290" s="3"/>
      <c r="LPJ290" s="3"/>
      <c r="LPK290" s="3"/>
      <c r="LPL290" s="3"/>
      <c r="LPM290" s="3"/>
      <c r="LPN290" s="3"/>
      <c r="LPO290" s="3"/>
      <c r="LPP290" s="3"/>
      <c r="LPQ290" s="3"/>
      <c r="LPR290" s="3"/>
      <c r="LPS290" s="3"/>
      <c r="LPT290" s="3"/>
      <c r="LPU290" s="3"/>
      <c r="LPV290" s="3"/>
      <c r="LPW290" s="3"/>
      <c r="LPX290" s="3"/>
      <c r="LPY290" s="3"/>
      <c r="LPZ290" s="3"/>
      <c r="LQA290" s="3"/>
      <c r="LQB290" s="3"/>
      <c r="LQC290" s="3"/>
      <c r="LQD290" s="3"/>
      <c r="LQE290" s="3"/>
      <c r="LQF290" s="3"/>
      <c r="LQG290" s="3"/>
      <c r="LQH290" s="3"/>
      <c r="LQI290" s="3"/>
      <c r="LQJ290" s="3"/>
      <c r="LQK290" s="3"/>
      <c r="LQL290" s="3"/>
      <c r="LQM290" s="3"/>
      <c r="LQN290" s="3"/>
      <c r="LQO290" s="3"/>
      <c r="LQP290" s="3"/>
      <c r="LQQ290" s="3"/>
      <c r="LQR290" s="3"/>
      <c r="LQS290" s="3"/>
      <c r="LQT290" s="3"/>
      <c r="LQU290" s="3"/>
      <c r="LQV290" s="3"/>
      <c r="LQW290" s="3"/>
      <c r="LQX290" s="3"/>
      <c r="LQY290" s="3"/>
      <c r="LQZ290" s="3"/>
      <c r="LRA290" s="3"/>
      <c r="LRB290" s="3"/>
      <c r="LRC290" s="3"/>
      <c r="LRD290" s="3"/>
      <c r="LRE290" s="3"/>
      <c r="LRF290" s="3"/>
      <c r="LRG290" s="3"/>
      <c r="LRH290" s="3"/>
      <c r="LRI290" s="3"/>
      <c r="LRJ290" s="3"/>
      <c r="LRK290" s="3"/>
      <c r="LRL290" s="3"/>
      <c r="LRM290" s="3"/>
      <c r="LRN290" s="3"/>
      <c r="LRO290" s="3"/>
      <c r="LRP290" s="3"/>
      <c r="LRQ290" s="3"/>
      <c r="LRR290" s="3"/>
      <c r="LRS290" s="3"/>
      <c r="LRT290" s="3"/>
      <c r="LRU290" s="3"/>
      <c r="LRV290" s="3"/>
      <c r="LRW290" s="3"/>
      <c r="LRX290" s="3"/>
      <c r="LRY290" s="3"/>
      <c r="LRZ290" s="3"/>
      <c r="LSA290" s="3"/>
      <c r="LSB290" s="3"/>
      <c r="LSC290" s="3"/>
      <c r="LSD290" s="3"/>
      <c r="LSE290" s="3"/>
      <c r="LSF290" s="3"/>
      <c r="LSG290" s="3"/>
      <c r="LSH290" s="3"/>
      <c r="LSI290" s="3"/>
      <c r="LSJ290" s="3"/>
      <c r="LSK290" s="3"/>
      <c r="LSL290" s="3"/>
      <c r="LSM290" s="3"/>
      <c r="LSN290" s="3"/>
      <c r="LSO290" s="3"/>
      <c r="LSP290" s="3"/>
      <c r="LSQ290" s="3"/>
      <c r="LSR290" s="3"/>
      <c r="LSS290" s="3"/>
      <c r="LST290" s="3"/>
      <c r="LSU290" s="3"/>
      <c r="LSV290" s="3"/>
      <c r="LSW290" s="3"/>
      <c r="LSX290" s="3"/>
      <c r="LSY290" s="3"/>
      <c r="LSZ290" s="3"/>
      <c r="LTA290" s="3"/>
      <c r="LTB290" s="3"/>
      <c r="LTC290" s="3"/>
      <c r="LTD290" s="3"/>
      <c r="LTE290" s="3"/>
      <c r="LTF290" s="3"/>
      <c r="LTG290" s="3"/>
      <c r="LTH290" s="3"/>
      <c r="LTI290" s="3"/>
      <c r="LTJ290" s="3"/>
      <c r="LTK290" s="3"/>
      <c r="LTL290" s="3"/>
      <c r="LTM290" s="3"/>
      <c r="LTN290" s="3"/>
      <c r="LTO290" s="3"/>
      <c r="LTP290" s="3"/>
      <c r="LTQ290" s="3"/>
      <c r="LTR290" s="3"/>
      <c r="LTS290" s="3"/>
      <c r="LTT290" s="3"/>
      <c r="LTU290" s="3"/>
      <c r="LTV290" s="3"/>
      <c r="LTW290" s="3"/>
      <c r="LTX290" s="3"/>
      <c r="LTY290" s="3"/>
      <c r="LTZ290" s="3"/>
      <c r="LUA290" s="3"/>
      <c r="LUB290" s="3"/>
      <c r="LUC290" s="3"/>
      <c r="LUD290" s="3"/>
      <c r="LUE290" s="3"/>
      <c r="LUF290" s="3"/>
      <c r="LUG290" s="3"/>
      <c r="LUH290" s="3"/>
      <c r="LUI290" s="3"/>
      <c r="LUJ290" s="3"/>
      <c r="LUK290" s="3"/>
      <c r="LUL290" s="3"/>
      <c r="LUM290" s="3"/>
      <c r="LUN290" s="3"/>
      <c r="LUO290" s="3"/>
      <c r="LUP290" s="3"/>
      <c r="LUQ290" s="3"/>
      <c r="LUR290" s="3"/>
      <c r="LUS290" s="3"/>
      <c r="LUT290" s="3"/>
      <c r="LUU290" s="3"/>
      <c r="LUV290" s="3"/>
      <c r="LUW290" s="3"/>
      <c r="LUX290" s="3"/>
      <c r="LUY290" s="3"/>
      <c r="LUZ290" s="3"/>
      <c r="LVA290" s="3"/>
      <c r="LVB290" s="3"/>
      <c r="LVC290" s="3"/>
      <c r="LVD290" s="3"/>
      <c r="LVE290" s="3"/>
      <c r="LVF290" s="3"/>
      <c r="LVG290" s="3"/>
      <c r="LVH290" s="3"/>
      <c r="LVI290" s="3"/>
      <c r="LVJ290" s="3"/>
      <c r="LVK290" s="3"/>
      <c r="LVL290" s="3"/>
      <c r="LVM290" s="3"/>
      <c r="LVN290" s="3"/>
      <c r="LVO290" s="3"/>
      <c r="LVP290" s="3"/>
      <c r="LVQ290" s="3"/>
      <c r="LVR290" s="3"/>
      <c r="LVS290" s="3"/>
      <c r="LVT290" s="3"/>
      <c r="LVU290" s="3"/>
      <c r="LVV290" s="3"/>
      <c r="LVW290" s="3"/>
      <c r="LVX290" s="3"/>
      <c r="LVY290" s="3"/>
      <c r="LVZ290" s="3"/>
      <c r="LWA290" s="3"/>
      <c r="LWB290" s="3"/>
      <c r="LWC290" s="3"/>
      <c r="LWD290" s="3"/>
      <c r="LWE290" s="3"/>
      <c r="LWF290" s="3"/>
      <c r="LWG290" s="3"/>
      <c r="LWH290" s="3"/>
      <c r="LWI290" s="3"/>
      <c r="LWJ290" s="3"/>
      <c r="LWK290" s="3"/>
      <c r="LWL290" s="3"/>
      <c r="LWM290" s="3"/>
      <c r="LWN290" s="3"/>
      <c r="LWO290" s="3"/>
      <c r="LWP290" s="3"/>
      <c r="LWQ290" s="3"/>
      <c r="LWR290" s="3"/>
      <c r="LWS290" s="3"/>
      <c r="LWT290" s="3"/>
      <c r="LWU290" s="3"/>
      <c r="LWV290" s="3"/>
      <c r="LWW290" s="3"/>
      <c r="LWX290" s="3"/>
      <c r="LWY290" s="3"/>
      <c r="LWZ290" s="3"/>
      <c r="LXA290" s="3"/>
      <c r="LXB290" s="3"/>
      <c r="LXC290" s="3"/>
      <c r="LXD290" s="3"/>
      <c r="LXE290" s="3"/>
      <c r="LXF290" s="3"/>
      <c r="LXG290" s="3"/>
      <c r="LXH290" s="3"/>
      <c r="LXI290" s="3"/>
      <c r="LXJ290" s="3"/>
      <c r="LXK290" s="3"/>
      <c r="LXL290" s="3"/>
      <c r="LXM290" s="3"/>
      <c r="LXN290" s="3"/>
      <c r="LXO290" s="3"/>
      <c r="LXP290" s="3"/>
      <c r="LXQ290" s="3"/>
      <c r="LXR290" s="3"/>
      <c r="LXS290" s="3"/>
      <c r="LXT290" s="3"/>
      <c r="LXU290" s="3"/>
      <c r="LXV290" s="3"/>
      <c r="LXW290" s="3"/>
      <c r="LXX290" s="3"/>
      <c r="LXY290" s="3"/>
      <c r="LXZ290" s="3"/>
      <c r="LYA290" s="3"/>
      <c r="LYB290" s="3"/>
      <c r="LYC290" s="3"/>
      <c r="LYD290" s="3"/>
      <c r="LYE290" s="3"/>
      <c r="LYF290" s="3"/>
      <c r="LYG290" s="3"/>
      <c r="LYH290" s="3"/>
      <c r="LYI290" s="3"/>
      <c r="LYJ290" s="3"/>
      <c r="LYK290" s="3"/>
      <c r="LYL290" s="3"/>
      <c r="LYM290" s="3"/>
      <c r="LYN290" s="3"/>
      <c r="LYO290" s="3"/>
      <c r="LYP290" s="3"/>
      <c r="LYQ290" s="3"/>
      <c r="LYR290" s="3"/>
      <c r="LYS290" s="3"/>
      <c r="LYT290" s="3"/>
      <c r="LYU290" s="3"/>
      <c r="LYV290" s="3"/>
      <c r="LYW290" s="3"/>
      <c r="LYX290" s="3"/>
      <c r="LYY290" s="3"/>
      <c r="LYZ290" s="3"/>
      <c r="LZA290" s="3"/>
      <c r="LZB290" s="3"/>
      <c r="LZC290" s="3"/>
      <c r="LZD290" s="3"/>
      <c r="LZE290" s="3"/>
      <c r="LZF290" s="3"/>
      <c r="LZG290" s="3"/>
      <c r="LZH290" s="3"/>
      <c r="LZI290" s="3"/>
      <c r="LZJ290" s="3"/>
      <c r="LZK290" s="3"/>
      <c r="LZL290" s="3"/>
      <c r="LZM290" s="3"/>
      <c r="LZN290" s="3"/>
      <c r="LZO290" s="3"/>
      <c r="LZP290" s="3"/>
      <c r="LZQ290" s="3"/>
      <c r="LZR290" s="3"/>
      <c r="LZS290" s="3"/>
      <c r="LZT290" s="3"/>
      <c r="LZU290" s="3"/>
      <c r="LZV290" s="3"/>
      <c r="LZW290" s="3"/>
      <c r="LZX290" s="3"/>
      <c r="LZY290" s="3"/>
      <c r="LZZ290" s="3"/>
      <c r="MAA290" s="3"/>
      <c r="MAB290" s="3"/>
      <c r="MAC290" s="3"/>
      <c r="MAD290" s="3"/>
      <c r="MAE290" s="3"/>
      <c r="MAF290" s="3"/>
      <c r="MAG290" s="3"/>
      <c r="MAH290" s="3"/>
      <c r="MAI290" s="3"/>
      <c r="MAJ290" s="3"/>
      <c r="MAK290" s="3"/>
      <c r="MAL290" s="3"/>
      <c r="MAM290" s="3"/>
      <c r="MAN290" s="3"/>
      <c r="MAO290" s="3"/>
      <c r="MAP290" s="3"/>
      <c r="MAQ290" s="3"/>
      <c r="MAR290" s="3"/>
      <c r="MAS290" s="3"/>
      <c r="MAT290" s="3"/>
      <c r="MAU290" s="3"/>
      <c r="MAV290" s="3"/>
      <c r="MAW290" s="3"/>
      <c r="MAX290" s="3"/>
      <c r="MAY290" s="3"/>
      <c r="MAZ290" s="3"/>
      <c r="MBA290" s="3"/>
      <c r="MBB290" s="3"/>
      <c r="MBC290" s="3"/>
      <c r="MBD290" s="3"/>
      <c r="MBE290" s="3"/>
      <c r="MBF290" s="3"/>
      <c r="MBG290" s="3"/>
      <c r="MBH290" s="3"/>
      <c r="MBI290" s="3"/>
      <c r="MBJ290" s="3"/>
      <c r="MBK290" s="3"/>
      <c r="MBL290" s="3"/>
      <c r="MBM290" s="3"/>
      <c r="MBN290" s="3"/>
      <c r="MBO290" s="3"/>
      <c r="MBP290" s="3"/>
      <c r="MBQ290" s="3"/>
      <c r="MBR290" s="3"/>
      <c r="MBS290" s="3"/>
      <c r="MBT290" s="3"/>
      <c r="MBU290" s="3"/>
      <c r="MBV290" s="3"/>
      <c r="MBW290" s="3"/>
      <c r="MBX290" s="3"/>
      <c r="MBY290" s="3"/>
      <c r="MBZ290" s="3"/>
      <c r="MCA290" s="3"/>
      <c r="MCB290" s="3"/>
      <c r="MCC290" s="3"/>
      <c r="MCD290" s="3"/>
      <c r="MCE290" s="3"/>
      <c r="MCF290" s="3"/>
      <c r="MCG290" s="3"/>
      <c r="MCH290" s="3"/>
      <c r="MCI290" s="3"/>
      <c r="MCJ290" s="3"/>
      <c r="MCK290" s="3"/>
      <c r="MCL290" s="3"/>
      <c r="MCM290" s="3"/>
      <c r="MCN290" s="3"/>
      <c r="MCO290" s="3"/>
      <c r="MCP290" s="3"/>
      <c r="MCQ290" s="3"/>
      <c r="MCR290" s="3"/>
      <c r="MCS290" s="3"/>
      <c r="MCT290" s="3"/>
      <c r="MCU290" s="3"/>
      <c r="MCV290" s="3"/>
      <c r="MCW290" s="3"/>
      <c r="MCX290" s="3"/>
      <c r="MCY290" s="3"/>
      <c r="MCZ290" s="3"/>
      <c r="MDA290" s="3"/>
      <c r="MDB290" s="3"/>
      <c r="MDC290" s="3"/>
      <c r="MDD290" s="3"/>
      <c r="MDE290" s="3"/>
      <c r="MDF290" s="3"/>
      <c r="MDG290" s="3"/>
      <c r="MDH290" s="3"/>
      <c r="MDI290" s="3"/>
      <c r="MDJ290" s="3"/>
      <c r="MDK290" s="3"/>
      <c r="MDL290" s="3"/>
      <c r="MDM290" s="3"/>
      <c r="MDN290" s="3"/>
      <c r="MDO290" s="3"/>
      <c r="MDP290" s="3"/>
      <c r="MDQ290" s="3"/>
      <c r="MDR290" s="3"/>
      <c r="MDS290" s="3"/>
      <c r="MDT290" s="3"/>
      <c r="MDU290" s="3"/>
      <c r="MDV290" s="3"/>
      <c r="MDW290" s="3"/>
      <c r="MDX290" s="3"/>
      <c r="MDY290" s="3"/>
      <c r="MDZ290" s="3"/>
      <c r="MEA290" s="3"/>
      <c r="MEB290" s="3"/>
      <c r="MEC290" s="3"/>
      <c r="MED290" s="3"/>
      <c r="MEE290" s="3"/>
      <c r="MEF290" s="3"/>
      <c r="MEG290" s="3"/>
      <c r="MEH290" s="3"/>
      <c r="MEI290" s="3"/>
      <c r="MEJ290" s="3"/>
      <c r="MEK290" s="3"/>
      <c r="MEL290" s="3"/>
      <c r="MEM290" s="3"/>
      <c r="MEN290" s="3"/>
      <c r="MEO290" s="3"/>
      <c r="MEP290" s="3"/>
      <c r="MEQ290" s="3"/>
      <c r="MER290" s="3"/>
      <c r="MES290" s="3"/>
      <c r="MET290" s="3"/>
      <c r="MEU290" s="3"/>
      <c r="MEV290" s="3"/>
      <c r="MEW290" s="3"/>
      <c r="MEX290" s="3"/>
      <c r="MEY290" s="3"/>
      <c r="MEZ290" s="3"/>
      <c r="MFA290" s="3"/>
      <c r="MFB290" s="3"/>
      <c r="MFC290" s="3"/>
      <c r="MFD290" s="3"/>
      <c r="MFE290" s="3"/>
      <c r="MFF290" s="3"/>
      <c r="MFG290" s="3"/>
      <c r="MFH290" s="3"/>
      <c r="MFI290" s="3"/>
      <c r="MFJ290" s="3"/>
      <c r="MFK290" s="3"/>
      <c r="MFL290" s="3"/>
      <c r="MFM290" s="3"/>
      <c r="MFN290" s="3"/>
      <c r="MFO290" s="3"/>
      <c r="MFP290" s="3"/>
      <c r="MFQ290" s="3"/>
      <c r="MFR290" s="3"/>
      <c r="MFS290" s="3"/>
      <c r="MFT290" s="3"/>
      <c r="MFU290" s="3"/>
      <c r="MFV290" s="3"/>
      <c r="MFW290" s="3"/>
      <c r="MFX290" s="3"/>
      <c r="MFY290" s="3"/>
      <c r="MFZ290" s="3"/>
      <c r="MGA290" s="3"/>
      <c r="MGB290" s="3"/>
      <c r="MGC290" s="3"/>
      <c r="MGD290" s="3"/>
      <c r="MGE290" s="3"/>
      <c r="MGF290" s="3"/>
      <c r="MGG290" s="3"/>
      <c r="MGH290" s="3"/>
      <c r="MGI290" s="3"/>
      <c r="MGJ290" s="3"/>
      <c r="MGK290" s="3"/>
      <c r="MGL290" s="3"/>
      <c r="MGM290" s="3"/>
      <c r="MGN290" s="3"/>
      <c r="MGO290" s="3"/>
      <c r="MGP290" s="3"/>
      <c r="MGQ290" s="3"/>
      <c r="MGR290" s="3"/>
      <c r="MGS290" s="3"/>
      <c r="MGT290" s="3"/>
      <c r="MGU290" s="3"/>
      <c r="MGV290" s="3"/>
      <c r="MGW290" s="3"/>
      <c r="MGX290" s="3"/>
      <c r="MGY290" s="3"/>
      <c r="MGZ290" s="3"/>
      <c r="MHA290" s="3"/>
      <c r="MHB290" s="3"/>
      <c r="MHC290" s="3"/>
      <c r="MHD290" s="3"/>
      <c r="MHE290" s="3"/>
      <c r="MHF290" s="3"/>
      <c r="MHG290" s="3"/>
      <c r="MHH290" s="3"/>
      <c r="MHI290" s="3"/>
      <c r="MHJ290" s="3"/>
      <c r="MHK290" s="3"/>
      <c r="MHL290" s="3"/>
      <c r="MHM290" s="3"/>
      <c r="MHN290" s="3"/>
      <c r="MHO290" s="3"/>
      <c r="MHP290" s="3"/>
      <c r="MHQ290" s="3"/>
      <c r="MHR290" s="3"/>
      <c r="MHS290" s="3"/>
      <c r="MHT290" s="3"/>
      <c r="MHU290" s="3"/>
      <c r="MHV290" s="3"/>
      <c r="MHW290" s="3"/>
      <c r="MHX290" s="3"/>
      <c r="MHY290" s="3"/>
      <c r="MHZ290" s="3"/>
      <c r="MIA290" s="3"/>
      <c r="MIB290" s="3"/>
      <c r="MIC290" s="3"/>
      <c r="MID290" s="3"/>
      <c r="MIE290" s="3"/>
      <c r="MIF290" s="3"/>
      <c r="MIG290" s="3"/>
      <c r="MIH290" s="3"/>
      <c r="MII290" s="3"/>
      <c r="MIJ290" s="3"/>
      <c r="MIK290" s="3"/>
      <c r="MIL290" s="3"/>
      <c r="MIM290" s="3"/>
      <c r="MIN290" s="3"/>
      <c r="MIO290" s="3"/>
      <c r="MIP290" s="3"/>
      <c r="MIQ290" s="3"/>
      <c r="MIR290" s="3"/>
      <c r="MIS290" s="3"/>
      <c r="MIT290" s="3"/>
      <c r="MIU290" s="3"/>
      <c r="MIV290" s="3"/>
      <c r="MIW290" s="3"/>
      <c r="MIX290" s="3"/>
      <c r="MIY290" s="3"/>
      <c r="MIZ290" s="3"/>
      <c r="MJA290" s="3"/>
      <c r="MJB290" s="3"/>
      <c r="MJC290" s="3"/>
      <c r="MJD290" s="3"/>
      <c r="MJE290" s="3"/>
      <c r="MJF290" s="3"/>
      <c r="MJG290" s="3"/>
      <c r="MJH290" s="3"/>
      <c r="MJI290" s="3"/>
      <c r="MJJ290" s="3"/>
      <c r="MJK290" s="3"/>
      <c r="MJL290" s="3"/>
      <c r="MJM290" s="3"/>
      <c r="MJN290" s="3"/>
      <c r="MJO290" s="3"/>
      <c r="MJP290" s="3"/>
      <c r="MJQ290" s="3"/>
      <c r="MJR290" s="3"/>
      <c r="MJS290" s="3"/>
      <c r="MJT290" s="3"/>
      <c r="MJU290" s="3"/>
      <c r="MJV290" s="3"/>
      <c r="MJW290" s="3"/>
      <c r="MJX290" s="3"/>
      <c r="MJY290" s="3"/>
      <c r="MJZ290" s="3"/>
      <c r="MKA290" s="3"/>
      <c r="MKB290" s="3"/>
      <c r="MKC290" s="3"/>
      <c r="MKD290" s="3"/>
      <c r="MKE290" s="3"/>
      <c r="MKF290" s="3"/>
      <c r="MKG290" s="3"/>
      <c r="MKH290" s="3"/>
      <c r="MKI290" s="3"/>
      <c r="MKJ290" s="3"/>
      <c r="MKK290" s="3"/>
      <c r="MKL290" s="3"/>
      <c r="MKM290" s="3"/>
      <c r="MKN290" s="3"/>
      <c r="MKO290" s="3"/>
      <c r="MKP290" s="3"/>
      <c r="MKQ290" s="3"/>
      <c r="MKR290" s="3"/>
      <c r="MKS290" s="3"/>
      <c r="MKT290" s="3"/>
      <c r="MKU290" s="3"/>
      <c r="MKV290" s="3"/>
      <c r="MKW290" s="3"/>
      <c r="MKX290" s="3"/>
      <c r="MKY290" s="3"/>
      <c r="MKZ290" s="3"/>
      <c r="MLA290" s="3"/>
      <c r="MLB290" s="3"/>
      <c r="MLC290" s="3"/>
      <c r="MLD290" s="3"/>
      <c r="MLE290" s="3"/>
      <c r="MLF290" s="3"/>
      <c r="MLG290" s="3"/>
      <c r="MLH290" s="3"/>
      <c r="MLI290" s="3"/>
      <c r="MLJ290" s="3"/>
      <c r="MLK290" s="3"/>
      <c r="MLL290" s="3"/>
      <c r="MLM290" s="3"/>
      <c r="MLN290" s="3"/>
      <c r="MLO290" s="3"/>
      <c r="MLP290" s="3"/>
      <c r="MLQ290" s="3"/>
      <c r="MLR290" s="3"/>
      <c r="MLS290" s="3"/>
      <c r="MLT290" s="3"/>
      <c r="MLU290" s="3"/>
      <c r="MLV290" s="3"/>
      <c r="MLW290" s="3"/>
      <c r="MLX290" s="3"/>
      <c r="MLY290" s="3"/>
      <c r="MLZ290" s="3"/>
      <c r="MMA290" s="3"/>
      <c r="MMB290" s="3"/>
      <c r="MMC290" s="3"/>
      <c r="MMD290" s="3"/>
      <c r="MME290" s="3"/>
      <c r="MMF290" s="3"/>
      <c r="MMG290" s="3"/>
      <c r="MMH290" s="3"/>
      <c r="MMI290" s="3"/>
      <c r="MMJ290" s="3"/>
      <c r="MMK290" s="3"/>
      <c r="MML290" s="3"/>
      <c r="MMM290" s="3"/>
      <c r="MMN290" s="3"/>
      <c r="MMO290" s="3"/>
      <c r="MMP290" s="3"/>
      <c r="MMQ290" s="3"/>
      <c r="MMR290" s="3"/>
      <c r="MMS290" s="3"/>
      <c r="MMT290" s="3"/>
      <c r="MMU290" s="3"/>
      <c r="MMV290" s="3"/>
      <c r="MMW290" s="3"/>
      <c r="MMX290" s="3"/>
      <c r="MMY290" s="3"/>
      <c r="MMZ290" s="3"/>
      <c r="MNA290" s="3"/>
      <c r="MNB290" s="3"/>
      <c r="MNC290" s="3"/>
      <c r="MND290" s="3"/>
      <c r="MNE290" s="3"/>
      <c r="MNF290" s="3"/>
      <c r="MNG290" s="3"/>
      <c r="MNH290" s="3"/>
      <c r="MNI290" s="3"/>
      <c r="MNJ290" s="3"/>
      <c r="MNK290" s="3"/>
      <c r="MNL290" s="3"/>
      <c r="MNM290" s="3"/>
      <c r="MNN290" s="3"/>
      <c r="MNO290" s="3"/>
      <c r="MNP290" s="3"/>
      <c r="MNQ290" s="3"/>
      <c r="MNR290" s="3"/>
      <c r="MNS290" s="3"/>
      <c r="MNT290" s="3"/>
      <c r="MNU290" s="3"/>
      <c r="MNV290" s="3"/>
      <c r="MNW290" s="3"/>
      <c r="MNX290" s="3"/>
      <c r="MNY290" s="3"/>
      <c r="MNZ290" s="3"/>
      <c r="MOA290" s="3"/>
      <c r="MOB290" s="3"/>
      <c r="MOC290" s="3"/>
      <c r="MOD290" s="3"/>
      <c r="MOE290" s="3"/>
      <c r="MOF290" s="3"/>
      <c r="MOG290" s="3"/>
      <c r="MOH290" s="3"/>
      <c r="MOI290" s="3"/>
      <c r="MOJ290" s="3"/>
      <c r="MOK290" s="3"/>
      <c r="MOL290" s="3"/>
      <c r="MOM290" s="3"/>
      <c r="MON290" s="3"/>
      <c r="MOO290" s="3"/>
      <c r="MOP290" s="3"/>
      <c r="MOQ290" s="3"/>
      <c r="MOR290" s="3"/>
      <c r="MOS290" s="3"/>
      <c r="MOT290" s="3"/>
      <c r="MOU290" s="3"/>
      <c r="MOV290" s="3"/>
      <c r="MOW290" s="3"/>
      <c r="MOX290" s="3"/>
      <c r="MOY290" s="3"/>
      <c r="MOZ290" s="3"/>
      <c r="MPA290" s="3"/>
      <c r="MPB290" s="3"/>
      <c r="MPC290" s="3"/>
      <c r="MPD290" s="3"/>
      <c r="MPE290" s="3"/>
      <c r="MPF290" s="3"/>
      <c r="MPG290" s="3"/>
      <c r="MPH290" s="3"/>
      <c r="MPI290" s="3"/>
      <c r="MPJ290" s="3"/>
      <c r="MPK290" s="3"/>
      <c r="MPL290" s="3"/>
      <c r="MPM290" s="3"/>
      <c r="MPN290" s="3"/>
      <c r="MPO290" s="3"/>
      <c r="MPP290" s="3"/>
      <c r="MPQ290" s="3"/>
      <c r="MPR290" s="3"/>
      <c r="MPS290" s="3"/>
      <c r="MPT290" s="3"/>
      <c r="MPU290" s="3"/>
      <c r="MPV290" s="3"/>
      <c r="MPW290" s="3"/>
      <c r="MPX290" s="3"/>
      <c r="MPY290" s="3"/>
      <c r="MPZ290" s="3"/>
      <c r="MQA290" s="3"/>
      <c r="MQB290" s="3"/>
      <c r="MQC290" s="3"/>
      <c r="MQD290" s="3"/>
      <c r="MQE290" s="3"/>
      <c r="MQF290" s="3"/>
      <c r="MQG290" s="3"/>
      <c r="MQH290" s="3"/>
      <c r="MQI290" s="3"/>
      <c r="MQJ290" s="3"/>
      <c r="MQK290" s="3"/>
      <c r="MQL290" s="3"/>
      <c r="MQM290" s="3"/>
      <c r="MQN290" s="3"/>
      <c r="MQO290" s="3"/>
      <c r="MQP290" s="3"/>
      <c r="MQQ290" s="3"/>
      <c r="MQR290" s="3"/>
      <c r="MQS290" s="3"/>
      <c r="MQT290" s="3"/>
      <c r="MQU290" s="3"/>
      <c r="MQV290" s="3"/>
      <c r="MQW290" s="3"/>
      <c r="MQX290" s="3"/>
      <c r="MQY290" s="3"/>
      <c r="MQZ290" s="3"/>
      <c r="MRA290" s="3"/>
      <c r="MRB290" s="3"/>
      <c r="MRC290" s="3"/>
      <c r="MRD290" s="3"/>
      <c r="MRE290" s="3"/>
      <c r="MRF290" s="3"/>
      <c r="MRG290" s="3"/>
      <c r="MRH290" s="3"/>
      <c r="MRI290" s="3"/>
      <c r="MRJ290" s="3"/>
      <c r="MRK290" s="3"/>
      <c r="MRL290" s="3"/>
      <c r="MRM290" s="3"/>
      <c r="MRN290" s="3"/>
      <c r="MRO290" s="3"/>
      <c r="MRP290" s="3"/>
      <c r="MRQ290" s="3"/>
      <c r="MRR290" s="3"/>
      <c r="MRS290" s="3"/>
      <c r="MRT290" s="3"/>
      <c r="MRU290" s="3"/>
      <c r="MRV290" s="3"/>
      <c r="MRW290" s="3"/>
      <c r="MRX290" s="3"/>
      <c r="MRY290" s="3"/>
      <c r="MRZ290" s="3"/>
      <c r="MSA290" s="3"/>
      <c r="MSB290" s="3"/>
      <c r="MSC290" s="3"/>
      <c r="MSD290" s="3"/>
      <c r="MSE290" s="3"/>
      <c r="MSF290" s="3"/>
      <c r="MSG290" s="3"/>
      <c r="MSH290" s="3"/>
      <c r="MSI290" s="3"/>
      <c r="MSJ290" s="3"/>
      <c r="MSK290" s="3"/>
      <c r="MSL290" s="3"/>
      <c r="MSM290" s="3"/>
      <c r="MSN290" s="3"/>
      <c r="MSO290" s="3"/>
      <c r="MSP290" s="3"/>
      <c r="MSQ290" s="3"/>
      <c r="MSR290" s="3"/>
      <c r="MSS290" s="3"/>
      <c r="MST290" s="3"/>
      <c r="MSU290" s="3"/>
      <c r="MSV290" s="3"/>
      <c r="MSW290" s="3"/>
      <c r="MSX290" s="3"/>
      <c r="MSY290" s="3"/>
      <c r="MSZ290" s="3"/>
      <c r="MTA290" s="3"/>
      <c r="MTB290" s="3"/>
      <c r="MTC290" s="3"/>
      <c r="MTD290" s="3"/>
      <c r="MTE290" s="3"/>
      <c r="MTF290" s="3"/>
      <c r="MTG290" s="3"/>
      <c r="MTH290" s="3"/>
      <c r="MTI290" s="3"/>
      <c r="MTJ290" s="3"/>
      <c r="MTK290" s="3"/>
      <c r="MTL290" s="3"/>
      <c r="MTM290" s="3"/>
      <c r="MTN290" s="3"/>
      <c r="MTO290" s="3"/>
      <c r="MTP290" s="3"/>
      <c r="MTQ290" s="3"/>
      <c r="MTR290" s="3"/>
      <c r="MTS290" s="3"/>
      <c r="MTT290" s="3"/>
      <c r="MTU290" s="3"/>
      <c r="MTV290" s="3"/>
      <c r="MTW290" s="3"/>
      <c r="MTX290" s="3"/>
      <c r="MTY290" s="3"/>
      <c r="MTZ290" s="3"/>
      <c r="MUA290" s="3"/>
      <c r="MUB290" s="3"/>
      <c r="MUC290" s="3"/>
      <c r="MUD290" s="3"/>
      <c r="MUE290" s="3"/>
      <c r="MUF290" s="3"/>
      <c r="MUG290" s="3"/>
      <c r="MUH290" s="3"/>
      <c r="MUI290" s="3"/>
      <c r="MUJ290" s="3"/>
      <c r="MUK290" s="3"/>
      <c r="MUL290" s="3"/>
      <c r="MUM290" s="3"/>
      <c r="MUN290" s="3"/>
      <c r="MUO290" s="3"/>
      <c r="MUP290" s="3"/>
      <c r="MUQ290" s="3"/>
      <c r="MUR290" s="3"/>
      <c r="MUS290" s="3"/>
      <c r="MUT290" s="3"/>
      <c r="MUU290" s="3"/>
      <c r="MUV290" s="3"/>
      <c r="MUW290" s="3"/>
      <c r="MUX290" s="3"/>
      <c r="MUY290" s="3"/>
      <c r="MUZ290" s="3"/>
      <c r="MVA290" s="3"/>
      <c r="MVB290" s="3"/>
      <c r="MVC290" s="3"/>
      <c r="MVD290" s="3"/>
      <c r="MVE290" s="3"/>
      <c r="MVF290" s="3"/>
      <c r="MVG290" s="3"/>
      <c r="MVH290" s="3"/>
      <c r="MVI290" s="3"/>
      <c r="MVJ290" s="3"/>
      <c r="MVK290" s="3"/>
      <c r="MVL290" s="3"/>
      <c r="MVM290" s="3"/>
      <c r="MVN290" s="3"/>
      <c r="MVO290" s="3"/>
      <c r="MVP290" s="3"/>
      <c r="MVQ290" s="3"/>
      <c r="MVR290" s="3"/>
      <c r="MVS290" s="3"/>
      <c r="MVT290" s="3"/>
      <c r="MVU290" s="3"/>
      <c r="MVV290" s="3"/>
      <c r="MVW290" s="3"/>
      <c r="MVX290" s="3"/>
      <c r="MVY290" s="3"/>
      <c r="MVZ290" s="3"/>
      <c r="MWA290" s="3"/>
      <c r="MWB290" s="3"/>
      <c r="MWC290" s="3"/>
      <c r="MWD290" s="3"/>
      <c r="MWE290" s="3"/>
      <c r="MWF290" s="3"/>
      <c r="MWG290" s="3"/>
      <c r="MWH290" s="3"/>
      <c r="MWI290" s="3"/>
      <c r="MWJ290" s="3"/>
      <c r="MWK290" s="3"/>
      <c r="MWL290" s="3"/>
      <c r="MWM290" s="3"/>
      <c r="MWN290" s="3"/>
      <c r="MWO290" s="3"/>
      <c r="MWP290" s="3"/>
      <c r="MWQ290" s="3"/>
      <c r="MWR290" s="3"/>
      <c r="MWS290" s="3"/>
      <c r="MWT290" s="3"/>
      <c r="MWU290" s="3"/>
      <c r="MWV290" s="3"/>
      <c r="MWW290" s="3"/>
      <c r="MWX290" s="3"/>
      <c r="MWY290" s="3"/>
      <c r="MWZ290" s="3"/>
      <c r="MXA290" s="3"/>
      <c r="MXB290" s="3"/>
      <c r="MXC290" s="3"/>
      <c r="MXD290" s="3"/>
      <c r="MXE290" s="3"/>
      <c r="MXF290" s="3"/>
      <c r="MXG290" s="3"/>
      <c r="MXH290" s="3"/>
      <c r="MXI290" s="3"/>
      <c r="MXJ290" s="3"/>
      <c r="MXK290" s="3"/>
      <c r="MXL290" s="3"/>
      <c r="MXM290" s="3"/>
      <c r="MXN290" s="3"/>
      <c r="MXO290" s="3"/>
      <c r="MXP290" s="3"/>
      <c r="MXQ290" s="3"/>
      <c r="MXR290" s="3"/>
      <c r="MXS290" s="3"/>
      <c r="MXT290" s="3"/>
      <c r="MXU290" s="3"/>
      <c r="MXV290" s="3"/>
      <c r="MXW290" s="3"/>
      <c r="MXX290" s="3"/>
      <c r="MXY290" s="3"/>
      <c r="MXZ290" s="3"/>
      <c r="MYA290" s="3"/>
      <c r="MYB290" s="3"/>
      <c r="MYC290" s="3"/>
      <c r="MYD290" s="3"/>
      <c r="MYE290" s="3"/>
      <c r="MYF290" s="3"/>
      <c r="MYG290" s="3"/>
      <c r="MYH290" s="3"/>
      <c r="MYI290" s="3"/>
      <c r="MYJ290" s="3"/>
      <c r="MYK290" s="3"/>
      <c r="MYL290" s="3"/>
      <c r="MYM290" s="3"/>
      <c r="MYN290" s="3"/>
      <c r="MYO290" s="3"/>
      <c r="MYP290" s="3"/>
      <c r="MYQ290" s="3"/>
      <c r="MYR290" s="3"/>
      <c r="MYS290" s="3"/>
      <c r="MYT290" s="3"/>
      <c r="MYU290" s="3"/>
      <c r="MYV290" s="3"/>
      <c r="MYW290" s="3"/>
      <c r="MYX290" s="3"/>
      <c r="MYY290" s="3"/>
      <c r="MYZ290" s="3"/>
      <c r="MZA290" s="3"/>
      <c r="MZB290" s="3"/>
      <c r="MZC290" s="3"/>
      <c r="MZD290" s="3"/>
      <c r="MZE290" s="3"/>
      <c r="MZF290" s="3"/>
      <c r="MZG290" s="3"/>
      <c r="MZH290" s="3"/>
      <c r="MZI290" s="3"/>
      <c r="MZJ290" s="3"/>
      <c r="MZK290" s="3"/>
      <c r="MZL290" s="3"/>
      <c r="MZM290" s="3"/>
      <c r="MZN290" s="3"/>
      <c r="MZO290" s="3"/>
      <c r="MZP290" s="3"/>
      <c r="MZQ290" s="3"/>
      <c r="MZR290" s="3"/>
      <c r="MZS290" s="3"/>
      <c r="MZT290" s="3"/>
      <c r="MZU290" s="3"/>
      <c r="MZV290" s="3"/>
      <c r="MZW290" s="3"/>
      <c r="MZX290" s="3"/>
      <c r="MZY290" s="3"/>
      <c r="MZZ290" s="3"/>
      <c r="NAA290" s="3"/>
      <c r="NAB290" s="3"/>
      <c r="NAC290" s="3"/>
      <c r="NAD290" s="3"/>
      <c r="NAE290" s="3"/>
      <c r="NAF290" s="3"/>
      <c r="NAG290" s="3"/>
      <c r="NAH290" s="3"/>
      <c r="NAI290" s="3"/>
      <c r="NAJ290" s="3"/>
      <c r="NAK290" s="3"/>
      <c r="NAL290" s="3"/>
      <c r="NAM290" s="3"/>
      <c r="NAN290" s="3"/>
      <c r="NAO290" s="3"/>
      <c r="NAP290" s="3"/>
      <c r="NAQ290" s="3"/>
      <c r="NAR290" s="3"/>
      <c r="NAS290" s="3"/>
      <c r="NAT290" s="3"/>
      <c r="NAU290" s="3"/>
      <c r="NAV290" s="3"/>
      <c r="NAW290" s="3"/>
      <c r="NAX290" s="3"/>
      <c r="NAY290" s="3"/>
      <c r="NAZ290" s="3"/>
      <c r="NBA290" s="3"/>
      <c r="NBB290" s="3"/>
      <c r="NBC290" s="3"/>
      <c r="NBD290" s="3"/>
      <c r="NBE290" s="3"/>
      <c r="NBF290" s="3"/>
      <c r="NBG290" s="3"/>
      <c r="NBH290" s="3"/>
      <c r="NBI290" s="3"/>
      <c r="NBJ290" s="3"/>
      <c r="NBK290" s="3"/>
      <c r="NBL290" s="3"/>
      <c r="NBM290" s="3"/>
      <c r="NBN290" s="3"/>
      <c r="NBO290" s="3"/>
      <c r="NBP290" s="3"/>
      <c r="NBQ290" s="3"/>
      <c r="NBR290" s="3"/>
      <c r="NBS290" s="3"/>
      <c r="NBT290" s="3"/>
      <c r="NBU290" s="3"/>
      <c r="NBV290" s="3"/>
      <c r="NBW290" s="3"/>
      <c r="NBX290" s="3"/>
      <c r="NBY290" s="3"/>
      <c r="NBZ290" s="3"/>
      <c r="NCA290" s="3"/>
      <c r="NCB290" s="3"/>
      <c r="NCC290" s="3"/>
      <c r="NCD290" s="3"/>
      <c r="NCE290" s="3"/>
      <c r="NCF290" s="3"/>
      <c r="NCG290" s="3"/>
      <c r="NCH290" s="3"/>
      <c r="NCI290" s="3"/>
      <c r="NCJ290" s="3"/>
      <c r="NCK290" s="3"/>
      <c r="NCL290" s="3"/>
      <c r="NCM290" s="3"/>
      <c r="NCN290" s="3"/>
      <c r="NCO290" s="3"/>
      <c r="NCP290" s="3"/>
      <c r="NCQ290" s="3"/>
      <c r="NCR290" s="3"/>
      <c r="NCS290" s="3"/>
      <c r="NCT290" s="3"/>
      <c r="NCU290" s="3"/>
      <c r="NCV290" s="3"/>
      <c r="NCW290" s="3"/>
      <c r="NCX290" s="3"/>
      <c r="NCY290" s="3"/>
      <c r="NCZ290" s="3"/>
      <c r="NDA290" s="3"/>
      <c r="NDB290" s="3"/>
      <c r="NDC290" s="3"/>
      <c r="NDD290" s="3"/>
      <c r="NDE290" s="3"/>
      <c r="NDF290" s="3"/>
      <c r="NDG290" s="3"/>
      <c r="NDH290" s="3"/>
      <c r="NDI290" s="3"/>
      <c r="NDJ290" s="3"/>
      <c r="NDK290" s="3"/>
      <c r="NDL290" s="3"/>
      <c r="NDM290" s="3"/>
      <c r="NDN290" s="3"/>
      <c r="NDO290" s="3"/>
      <c r="NDP290" s="3"/>
      <c r="NDQ290" s="3"/>
      <c r="NDR290" s="3"/>
      <c r="NDS290" s="3"/>
      <c r="NDT290" s="3"/>
      <c r="NDU290" s="3"/>
      <c r="NDV290" s="3"/>
      <c r="NDW290" s="3"/>
      <c r="NDX290" s="3"/>
      <c r="NDY290" s="3"/>
      <c r="NDZ290" s="3"/>
      <c r="NEA290" s="3"/>
      <c r="NEB290" s="3"/>
      <c r="NEC290" s="3"/>
      <c r="NED290" s="3"/>
      <c r="NEE290" s="3"/>
      <c r="NEF290" s="3"/>
      <c r="NEG290" s="3"/>
      <c r="NEH290" s="3"/>
      <c r="NEI290" s="3"/>
      <c r="NEJ290" s="3"/>
      <c r="NEK290" s="3"/>
      <c r="NEL290" s="3"/>
      <c r="NEM290" s="3"/>
      <c r="NEN290" s="3"/>
      <c r="NEO290" s="3"/>
      <c r="NEP290" s="3"/>
      <c r="NEQ290" s="3"/>
      <c r="NER290" s="3"/>
      <c r="NES290" s="3"/>
      <c r="NET290" s="3"/>
      <c r="NEU290" s="3"/>
      <c r="NEV290" s="3"/>
      <c r="NEW290" s="3"/>
      <c r="NEX290" s="3"/>
      <c r="NEY290" s="3"/>
      <c r="NEZ290" s="3"/>
      <c r="NFA290" s="3"/>
      <c r="NFB290" s="3"/>
      <c r="NFC290" s="3"/>
      <c r="NFD290" s="3"/>
      <c r="NFE290" s="3"/>
      <c r="NFF290" s="3"/>
      <c r="NFG290" s="3"/>
      <c r="NFH290" s="3"/>
      <c r="NFI290" s="3"/>
      <c r="NFJ290" s="3"/>
      <c r="NFK290" s="3"/>
      <c r="NFL290" s="3"/>
      <c r="NFM290" s="3"/>
      <c r="NFN290" s="3"/>
      <c r="NFO290" s="3"/>
      <c r="NFP290" s="3"/>
      <c r="NFQ290" s="3"/>
      <c r="NFR290" s="3"/>
      <c r="NFS290" s="3"/>
      <c r="NFT290" s="3"/>
      <c r="NFU290" s="3"/>
      <c r="NFV290" s="3"/>
      <c r="NFW290" s="3"/>
      <c r="NFX290" s="3"/>
      <c r="NFY290" s="3"/>
      <c r="NFZ290" s="3"/>
      <c r="NGA290" s="3"/>
      <c r="NGB290" s="3"/>
      <c r="NGC290" s="3"/>
      <c r="NGD290" s="3"/>
      <c r="NGE290" s="3"/>
      <c r="NGF290" s="3"/>
      <c r="NGG290" s="3"/>
      <c r="NGH290" s="3"/>
      <c r="NGI290" s="3"/>
      <c r="NGJ290" s="3"/>
      <c r="NGK290" s="3"/>
      <c r="NGL290" s="3"/>
      <c r="NGM290" s="3"/>
      <c r="NGN290" s="3"/>
      <c r="NGO290" s="3"/>
      <c r="NGP290" s="3"/>
      <c r="NGQ290" s="3"/>
      <c r="NGR290" s="3"/>
      <c r="NGS290" s="3"/>
      <c r="NGT290" s="3"/>
      <c r="NGU290" s="3"/>
      <c r="NGV290" s="3"/>
      <c r="NGW290" s="3"/>
      <c r="NGX290" s="3"/>
      <c r="NGY290" s="3"/>
      <c r="NGZ290" s="3"/>
      <c r="NHA290" s="3"/>
      <c r="NHB290" s="3"/>
      <c r="NHC290" s="3"/>
      <c r="NHD290" s="3"/>
      <c r="NHE290" s="3"/>
      <c r="NHF290" s="3"/>
      <c r="NHG290" s="3"/>
      <c r="NHH290" s="3"/>
      <c r="NHI290" s="3"/>
      <c r="NHJ290" s="3"/>
      <c r="NHK290" s="3"/>
      <c r="NHL290" s="3"/>
      <c r="NHM290" s="3"/>
      <c r="NHN290" s="3"/>
      <c r="NHO290" s="3"/>
      <c r="NHP290" s="3"/>
      <c r="NHQ290" s="3"/>
      <c r="NHR290" s="3"/>
      <c r="NHS290" s="3"/>
      <c r="NHT290" s="3"/>
      <c r="NHU290" s="3"/>
      <c r="NHV290" s="3"/>
      <c r="NHW290" s="3"/>
      <c r="NHX290" s="3"/>
      <c r="NHY290" s="3"/>
      <c r="NHZ290" s="3"/>
      <c r="NIA290" s="3"/>
      <c r="NIB290" s="3"/>
      <c r="NIC290" s="3"/>
      <c r="NID290" s="3"/>
      <c r="NIE290" s="3"/>
      <c r="NIF290" s="3"/>
      <c r="NIG290" s="3"/>
      <c r="NIH290" s="3"/>
      <c r="NII290" s="3"/>
      <c r="NIJ290" s="3"/>
      <c r="NIK290" s="3"/>
      <c r="NIL290" s="3"/>
      <c r="NIM290" s="3"/>
      <c r="NIN290" s="3"/>
      <c r="NIO290" s="3"/>
      <c r="NIP290" s="3"/>
      <c r="NIQ290" s="3"/>
      <c r="NIR290" s="3"/>
      <c r="NIS290" s="3"/>
      <c r="NIT290" s="3"/>
      <c r="NIU290" s="3"/>
      <c r="NIV290" s="3"/>
      <c r="NIW290" s="3"/>
      <c r="NIX290" s="3"/>
      <c r="NIY290" s="3"/>
      <c r="NIZ290" s="3"/>
      <c r="NJA290" s="3"/>
      <c r="NJB290" s="3"/>
      <c r="NJC290" s="3"/>
      <c r="NJD290" s="3"/>
      <c r="NJE290" s="3"/>
      <c r="NJF290" s="3"/>
      <c r="NJG290" s="3"/>
      <c r="NJH290" s="3"/>
      <c r="NJI290" s="3"/>
      <c r="NJJ290" s="3"/>
      <c r="NJK290" s="3"/>
      <c r="NJL290" s="3"/>
      <c r="NJM290" s="3"/>
      <c r="NJN290" s="3"/>
      <c r="NJO290" s="3"/>
      <c r="NJP290" s="3"/>
      <c r="NJQ290" s="3"/>
      <c r="NJR290" s="3"/>
      <c r="NJS290" s="3"/>
      <c r="NJT290" s="3"/>
      <c r="NJU290" s="3"/>
      <c r="NJV290" s="3"/>
      <c r="NJW290" s="3"/>
      <c r="NJX290" s="3"/>
      <c r="NJY290" s="3"/>
      <c r="NJZ290" s="3"/>
      <c r="NKA290" s="3"/>
      <c r="NKB290" s="3"/>
      <c r="NKC290" s="3"/>
      <c r="NKD290" s="3"/>
      <c r="NKE290" s="3"/>
      <c r="NKF290" s="3"/>
      <c r="NKG290" s="3"/>
      <c r="NKH290" s="3"/>
      <c r="NKI290" s="3"/>
      <c r="NKJ290" s="3"/>
      <c r="NKK290" s="3"/>
      <c r="NKL290" s="3"/>
      <c r="NKM290" s="3"/>
      <c r="NKN290" s="3"/>
      <c r="NKO290" s="3"/>
      <c r="NKP290" s="3"/>
      <c r="NKQ290" s="3"/>
      <c r="NKR290" s="3"/>
      <c r="NKS290" s="3"/>
      <c r="NKT290" s="3"/>
      <c r="NKU290" s="3"/>
      <c r="NKV290" s="3"/>
      <c r="NKW290" s="3"/>
      <c r="NKX290" s="3"/>
      <c r="NKY290" s="3"/>
      <c r="NKZ290" s="3"/>
      <c r="NLA290" s="3"/>
      <c r="NLB290" s="3"/>
      <c r="NLC290" s="3"/>
      <c r="NLD290" s="3"/>
      <c r="NLE290" s="3"/>
      <c r="NLF290" s="3"/>
      <c r="NLG290" s="3"/>
      <c r="NLH290" s="3"/>
      <c r="NLI290" s="3"/>
      <c r="NLJ290" s="3"/>
      <c r="NLK290" s="3"/>
      <c r="NLL290" s="3"/>
      <c r="NLM290" s="3"/>
      <c r="NLN290" s="3"/>
      <c r="NLO290" s="3"/>
      <c r="NLP290" s="3"/>
      <c r="NLQ290" s="3"/>
      <c r="NLR290" s="3"/>
      <c r="NLS290" s="3"/>
      <c r="NLT290" s="3"/>
      <c r="NLU290" s="3"/>
      <c r="NLV290" s="3"/>
      <c r="NLW290" s="3"/>
      <c r="NLX290" s="3"/>
      <c r="NLY290" s="3"/>
      <c r="NLZ290" s="3"/>
      <c r="NMA290" s="3"/>
      <c r="NMB290" s="3"/>
      <c r="NMC290" s="3"/>
      <c r="NMD290" s="3"/>
      <c r="NME290" s="3"/>
      <c r="NMF290" s="3"/>
      <c r="NMG290" s="3"/>
      <c r="NMH290" s="3"/>
      <c r="NMI290" s="3"/>
      <c r="NMJ290" s="3"/>
      <c r="NMK290" s="3"/>
      <c r="NML290" s="3"/>
      <c r="NMM290" s="3"/>
      <c r="NMN290" s="3"/>
      <c r="NMO290" s="3"/>
      <c r="NMP290" s="3"/>
      <c r="NMQ290" s="3"/>
      <c r="NMR290" s="3"/>
      <c r="NMS290" s="3"/>
      <c r="NMT290" s="3"/>
      <c r="NMU290" s="3"/>
      <c r="NMV290" s="3"/>
      <c r="NMW290" s="3"/>
      <c r="NMX290" s="3"/>
      <c r="NMY290" s="3"/>
      <c r="NMZ290" s="3"/>
      <c r="NNA290" s="3"/>
      <c r="NNB290" s="3"/>
      <c r="NNC290" s="3"/>
      <c r="NND290" s="3"/>
      <c r="NNE290" s="3"/>
      <c r="NNF290" s="3"/>
      <c r="NNG290" s="3"/>
      <c r="NNH290" s="3"/>
      <c r="NNI290" s="3"/>
      <c r="NNJ290" s="3"/>
      <c r="NNK290" s="3"/>
      <c r="NNL290" s="3"/>
      <c r="NNM290" s="3"/>
      <c r="NNN290" s="3"/>
      <c r="NNO290" s="3"/>
      <c r="NNP290" s="3"/>
      <c r="NNQ290" s="3"/>
      <c r="NNR290" s="3"/>
      <c r="NNS290" s="3"/>
      <c r="NNT290" s="3"/>
      <c r="NNU290" s="3"/>
      <c r="NNV290" s="3"/>
      <c r="NNW290" s="3"/>
      <c r="NNX290" s="3"/>
      <c r="NNY290" s="3"/>
      <c r="NNZ290" s="3"/>
      <c r="NOA290" s="3"/>
      <c r="NOB290" s="3"/>
      <c r="NOC290" s="3"/>
      <c r="NOD290" s="3"/>
      <c r="NOE290" s="3"/>
      <c r="NOF290" s="3"/>
      <c r="NOG290" s="3"/>
      <c r="NOH290" s="3"/>
      <c r="NOI290" s="3"/>
      <c r="NOJ290" s="3"/>
      <c r="NOK290" s="3"/>
      <c r="NOL290" s="3"/>
      <c r="NOM290" s="3"/>
      <c r="NON290" s="3"/>
      <c r="NOO290" s="3"/>
      <c r="NOP290" s="3"/>
      <c r="NOQ290" s="3"/>
      <c r="NOR290" s="3"/>
      <c r="NOS290" s="3"/>
      <c r="NOT290" s="3"/>
      <c r="NOU290" s="3"/>
      <c r="NOV290" s="3"/>
      <c r="NOW290" s="3"/>
      <c r="NOX290" s="3"/>
      <c r="NOY290" s="3"/>
      <c r="NOZ290" s="3"/>
      <c r="NPA290" s="3"/>
      <c r="NPB290" s="3"/>
      <c r="NPC290" s="3"/>
      <c r="NPD290" s="3"/>
      <c r="NPE290" s="3"/>
      <c r="NPF290" s="3"/>
      <c r="NPG290" s="3"/>
      <c r="NPH290" s="3"/>
      <c r="NPI290" s="3"/>
      <c r="NPJ290" s="3"/>
      <c r="NPK290" s="3"/>
      <c r="NPL290" s="3"/>
      <c r="NPM290" s="3"/>
      <c r="NPN290" s="3"/>
      <c r="NPO290" s="3"/>
      <c r="NPP290" s="3"/>
      <c r="NPQ290" s="3"/>
      <c r="NPR290" s="3"/>
      <c r="NPS290" s="3"/>
      <c r="NPT290" s="3"/>
      <c r="NPU290" s="3"/>
      <c r="NPV290" s="3"/>
      <c r="NPW290" s="3"/>
      <c r="NPX290" s="3"/>
      <c r="NPY290" s="3"/>
      <c r="NPZ290" s="3"/>
      <c r="NQA290" s="3"/>
      <c r="NQB290" s="3"/>
      <c r="NQC290" s="3"/>
      <c r="NQD290" s="3"/>
      <c r="NQE290" s="3"/>
      <c r="NQF290" s="3"/>
      <c r="NQG290" s="3"/>
      <c r="NQH290" s="3"/>
      <c r="NQI290" s="3"/>
      <c r="NQJ290" s="3"/>
      <c r="NQK290" s="3"/>
      <c r="NQL290" s="3"/>
      <c r="NQM290" s="3"/>
      <c r="NQN290" s="3"/>
      <c r="NQO290" s="3"/>
      <c r="NQP290" s="3"/>
      <c r="NQQ290" s="3"/>
      <c r="NQR290" s="3"/>
      <c r="NQS290" s="3"/>
      <c r="NQT290" s="3"/>
      <c r="NQU290" s="3"/>
      <c r="NQV290" s="3"/>
      <c r="NQW290" s="3"/>
      <c r="NQX290" s="3"/>
      <c r="NQY290" s="3"/>
      <c r="NQZ290" s="3"/>
      <c r="NRA290" s="3"/>
      <c r="NRB290" s="3"/>
      <c r="NRC290" s="3"/>
      <c r="NRD290" s="3"/>
      <c r="NRE290" s="3"/>
      <c r="NRF290" s="3"/>
      <c r="NRG290" s="3"/>
      <c r="NRH290" s="3"/>
      <c r="NRI290" s="3"/>
      <c r="NRJ290" s="3"/>
      <c r="NRK290" s="3"/>
      <c r="NRL290" s="3"/>
      <c r="NRM290" s="3"/>
      <c r="NRN290" s="3"/>
      <c r="NRO290" s="3"/>
      <c r="NRP290" s="3"/>
      <c r="NRQ290" s="3"/>
      <c r="NRR290" s="3"/>
      <c r="NRS290" s="3"/>
      <c r="NRT290" s="3"/>
      <c r="NRU290" s="3"/>
      <c r="NRV290" s="3"/>
      <c r="NRW290" s="3"/>
      <c r="NRX290" s="3"/>
      <c r="NRY290" s="3"/>
      <c r="NRZ290" s="3"/>
      <c r="NSA290" s="3"/>
      <c r="NSB290" s="3"/>
      <c r="NSC290" s="3"/>
      <c r="NSD290" s="3"/>
      <c r="NSE290" s="3"/>
      <c r="NSF290" s="3"/>
      <c r="NSG290" s="3"/>
      <c r="NSH290" s="3"/>
      <c r="NSI290" s="3"/>
      <c r="NSJ290" s="3"/>
      <c r="NSK290" s="3"/>
      <c r="NSL290" s="3"/>
      <c r="NSM290" s="3"/>
      <c r="NSN290" s="3"/>
      <c r="NSO290" s="3"/>
      <c r="NSP290" s="3"/>
      <c r="NSQ290" s="3"/>
      <c r="NSR290" s="3"/>
      <c r="NSS290" s="3"/>
      <c r="NST290" s="3"/>
      <c r="NSU290" s="3"/>
      <c r="NSV290" s="3"/>
      <c r="NSW290" s="3"/>
      <c r="NSX290" s="3"/>
      <c r="NSY290" s="3"/>
      <c r="NSZ290" s="3"/>
      <c r="NTA290" s="3"/>
      <c r="NTB290" s="3"/>
      <c r="NTC290" s="3"/>
      <c r="NTD290" s="3"/>
      <c r="NTE290" s="3"/>
      <c r="NTF290" s="3"/>
      <c r="NTG290" s="3"/>
      <c r="NTH290" s="3"/>
      <c r="NTI290" s="3"/>
      <c r="NTJ290" s="3"/>
      <c r="NTK290" s="3"/>
      <c r="NTL290" s="3"/>
      <c r="NTM290" s="3"/>
      <c r="NTN290" s="3"/>
      <c r="NTO290" s="3"/>
      <c r="NTP290" s="3"/>
      <c r="NTQ290" s="3"/>
      <c r="NTR290" s="3"/>
      <c r="NTS290" s="3"/>
      <c r="NTT290" s="3"/>
      <c r="NTU290" s="3"/>
      <c r="NTV290" s="3"/>
      <c r="NTW290" s="3"/>
      <c r="NTX290" s="3"/>
      <c r="NTY290" s="3"/>
      <c r="NTZ290" s="3"/>
      <c r="NUA290" s="3"/>
      <c r="NUB290" s="3"/>
      <c r="NUC290" s="3"/>
      <c r="NUD290" s="3"/>
      <c r="NUE290" s="3"/>
      <c r="NUF290" s="3"/>
      <c r="NUG290" s="3"/>
      <c r="NUH290" s="3"/>
      <c r="NUI290" s="3"/>
      <c r="NUJ290" s="3"/>
      <c r="NUK290" s="3"/>
      <c r="NUL290" s="3"/>
      <c r="NUM290" s="3"/>
      <c r="NUN290" s="3"/>
      <c r="NUO290" s="3"/>
      <c r="NUP290" s="3"/>
      <c r="NUQ290" s="3"/>
      <c r="NUR290" s="3"/>
      <c r="NUS290" s="3"/>
      <c r="NUT290" s="3"/>
      <c r="NUU290" s="3"/>
      <c r="NUV290" s="3"/>
      <c r="NUW290" s="3"/>
      <c r="NUX290" s="3"/>
      <c r="NUY290" s="3"/>
      <c r="NUZ290" s="3"/>
      <c r="NVA290" s="3"/>
      <c r="NVB290" s="3"/>
      <c r="NVC290" s="3"/>
      <c r="NVD290" s="3"/>
      <c r="NVE290" s="3"/>
      <c r="NVF290" s="3"/>
      <c r="NVG290" s="3"/>
      <c r="NVH290" s="3"/>
      <c r="NVI290" s="3"/>
      <c r="NVJ290" s="3"/>
      <c r="NVK290" s="3"/>
      <c r="NVL290" s="3"/>
      <c r="NVM290" s="3"/>
      <c r="NVN290" s="3"/>
      <c r="NVO290" s="3"/>
      <c r="NVP290" s="3"/>
      <c r="NVQ290" s="3"/>
      <c r="NVR290" s="3"/>
      <c r="NVS290" s="3"/>
      <c r="NVT290" s="3"/>
      <c r="NVU290" s="3"/>
      <c r="NVV290" s="3"/>
      <c r="NVW290" s="3"/>
      <c r="NVX290" s="3"/>
      <c r="NVY290" s="3"/>
      <c r="NVZ290" s="3"/>
      <c r="NWA290" s="3"/>
      <c r="NWB290" s="3"/>
      <c r="NWC290" s="3"/>
      <c r="NWD290" s="3"/>
      <c r="NWE290" s="3"/>
      <c r="NWF290" s="3"/>
      <c r="NWG290" s="3"/>
      <c r="NWH290" s="3"/>
      <c r="NWI290" s="3"/>
      <c r="NWJ290" s="3"/>
      <c r="NWK290" s="3"/>
      <c r="NWL290" s="3"/>
      <c r="NWM290" s="3"/>
      <c r="NWN290" s="3"/>
      <c r="NWO290" s="3"/>
      <c r="NWP290" s="3"/>
      <c r="NWQ290" s="3"/>
      <c r="NWR290" s="3"/>
      <c r="NWS290" s="3"/>
      <c r="NWT290" s="3"/>
      <c r="NWU290" s="3"/>
      <c r="NWV290" s="3"/>
      <c r="NWW290" s="3"/>
      <c r="NWX290" s="3"/>
      <c r="NWY290" s="3"/>
      <c r="NWZ290" s="3"/>
      <c r="NXA290" s="3"/>
      <c r="NXB290" s="3"/>
      <c r="NXC290" s="3"/>
      <c r="NXD290" s="3"/>
      <c r="NXE290" s="3"/>
      <c r="NXF290" s="3"/>
      <c r="NXG290" s="3"/>
      <c r="NXH290" s="3"/>
      <c r="NXI290" s="3"/>
      <c r="NXJ290" s="3"/>
      <c r="NXK290" s="3"/>
      <c r="NXL290" s="3"/>
      <c r="NXM290" s="3"/>
      <c r="NXN290" s="3"/>
      <c r="NXO290" s="3"/>
      <c r="NXP290" s="3"/>
      <c r="NXQ290" s="3"/>
      <c r="NXR290" s="3"/>
      <c r="NXS290" s="3"/>
      <c r="NXT290" s="3"/>
      <c r="NXU290" s="3"/>
      <c r="NXV290" s="3"/>
      <c r="NXW290" s="3"/>
      <c r="NXX290" s="3"/>
      <c r="NXY290" s="3"/>
      <c r="NXZ290" s="3"/>
      <c r="NYA290" s="3"/>
      <c r="NYB290" s="3"/>
      <c r="NYC290" s="3"/>
      <c r="NYD290" s="3"/>
      <c r="NYE290" s="3"/>
      <c r="NYF290" s="3"/>
      <c r="NYG290" s="3"/>
      <c r="NYH290" s="3"/>
      <c r="NYI290" s="3"/>
      <c r="NYJ290" s="3"/>
      <c r="NYK290" s="3"/>
      <c r="NYL290" s="3"/>
      <c r="NYM290" s="3"/>
      <c r="NYN290" s="3"/>
      <c r="NYO290" s="3"/>
      <c r="NYP290" s="3"/>
      <c r="NYQ290" s="3"/>
      <c r="NYR290" s="3"/>
      <c r="NYS290" s="3"/>
      <c r="NYT290" s="3"/>
      <c r="NYU290" s="3"/>
      <c r="NYV290" s="3"/>
      <c r="NYW290" s="3"/>
      <c r="NYX290" s="3"/>
      <c r="NYY290" s="3"/>
      <c r="NYZ290" s="3"/>
      <c r="NZA290" s="3"/>
      <c r="NZB290" s="3"/>
      <c r="NZC290" s="3"/>
      <c r="NZD290" s="3"/>
      <c r="NZE290" s="3"/>
      <c r="NZF290" s="3"/>
      <c r="NZG290" s="3"/>
      <c r="NZH290" s="3"/>
      <c r="NZI290" s="3"/>
      <c r="NZJ290" s="3"/>
      <c r="NZK290" s="3"/>
      <c r="NZL290" s="3"/>
      <c r="NZM290" s="3"/>
      <c r="NZN290" s="3"/>
      <c r="NZO290" s="3"/>
      <c r="NZP290" s="3"/>
      <c r="NZQ290" s="3"/>
      <c r="NZR290" s="3"/>
      <c r="NZS290" s="3"/>
      <c r="NZT290" s="3"/>
      <c r="NZU290" s="3"/>
      <c r="NZV290" s="3"/>
      <c r="NZW290" s="3"/>
      <c r="NZX290" s="3"/>
      <c r="NZY290" s="3"/>
      <c r="NZZ290" s="3"/>
      <c r="OAA290" s="3"/>
      <c r="OAB290" s="3"/>
      <c r="OAC290" s="3"/>
      <c r="OAD290" s="3"/>
      <c r="OAE290" s="3"/>
      <c r="OAF290" s="3"/>
      <c r="OAG290" s="3"/>
      <c r="OAH290" s="3"/>
      <c r="OAI290" s="3"/>
      <c r="OAJ290" s="3"/>
      <c r="OAK290" s="3"/>
      <c r="OAL290" s="3"/>
      <c r="OAM290" s="3"/>
      <c r="OAN290" s="3"/>
      <c r="OAO290" s="3"/>
      <c r="OAP290" s="3"/>
      <c r="OAQ290" s="3"/>
      <c r="OAR290" s="3"/>
      <c r="OAS290" s="3"/>
      <c r="OAT290" s="3"/>
      <c r="OAU290" s="3"/>
      <c r="OAV290" s="3"/>
      <c r="OAW290" s="3"/>
      <c r="OAX290" s="3"/>
      <c r="OAY290" s="3"/>
      <c r="OAZ290" s="3"/>
      <c r="OBA290" s="3"/>
      <c r="OBB290" s="3"/>
      <c r="OBC290" s="3"/>
      <c r="OBD290" s="3"/>
      <c r="OBE290" s="3"/>
      <c r="OBF290" s="3"/>
      <c r="OBG290" s="3"/>
      <c r="OBH290" s="3"/>
      <c r="OBI290" s="3"/>
      <c r="OBJ290" s="3"/>
      <c r="OBK290" s="3"/>
      <c r="OBL290" s="3"/>
      <c r="OBM290" s="3"/>
      <c r="OBN290" s="3"/>
      <c r="OBO290" s="3"/>
      <c r="OBP290" s="3"/>
      <c r="OBQ290" s="3"/>
      <c r="OBR290" s="3"/>
      <c r="OBS290" s="3"/>
      <c r="OBT290" s="3"/>
      <c r="OBU290" s="3"/>
      <c r="OBV290" s="3"/>
      <c r="OBW290" s="3"/>
      <c r="OBX290" s="3"/>
      <c r="OBY290" s="3"/>
      <c r="OBZ290" s="3"/>
      <c r="OCA290" s="3"/>
      <c r="OCB290" s="3"/>
      <c r="OCC290" s="3"/>
      <c r="OCD290" s="3"/>
      <c r="OCE290" s="3"/>
      <c r="OCF290" s="3"/>
      <c r="OCG290" s="3"/>
      <c r="OCH290" s="3"/>
      <c r="OCI290" s="3"/>
      <c r="OCJ290" s="3"/>
      <c r="OCK290" s="3"/>
      <c r="OCL290" s="3"/>
      <c r="OCM290" s="3"/>
      <c r="OCN290" s="3"/>
      <c r="OCO290" s="3"/>
      <c r="OCP290" s="3"/>
      <c r="OCQ290" s="3"/>
      <c r="OCR290" s="3"/>
      <c r="OCS290" s="3"/>
      <c r="OCT290" s="3"/>
      <c r="OCU290" s="3"/>
      <c r="OCV290" s="3"/>
      <c r="OCW290" s="3"/>
      <c r="OCX290" s="3"/>
      <c r="OCY290" s="3"/>
      <c r="OCZ290" s="3"/>
      <c r="ODA290" s="3"/>
      <c r="ODB290" s="3"/>
      <c r="ODC290" s="3"/>
      <c r="ODD290" s="3"/>
      <c r="ODE290" s="3"/>
      <c r="ODF290" s="3"/>
      <c r="ODG290" s="3"/>
      <c r="ODH290" s="3"/>
      <c r="ODI290" s="3"/>
      <c r="ODJ290" s="3"/>
      <c r="ODK290" s="3"/>
      <c r="ODL290" s="3"/>
      <c r="ODM290" s="3"/>
      <c r="ODN290" s="3"/>
      <c r="ODO290" s="3"/>
      <c r="ODP290" s="3"/>
      <c r="ODQ290" s="3"/>
      <c r="ODR290" s="3"/>
      <c r="ODS290" s="3"/>
      <c r="ODT290" s="3"/>
      <c r="ODU290" s="3"/>
      <c r="ODV290" s="3"/>
      <c r="ODW290" s="3"/>
      <c r="ODX290" s="3"/>
      <c r="ODY290" s="3"/>
      <c r="ODZ290" s="3"/>
      <c r="OEA290" s="3"/>
      <c r="OEB290" s="3"/>
      <c r="OEC290" s="3"/>
      <c r="OED290" s="3"/>
      <c r="OEE290" s="3"/>
      <c r="OEF290" s="3"/>
      <c r="OEG290" s="3"/>
      <c r="OEH290" s="3"/>
      <c r="OEI290" s="3"/>
      <c r="OEJ290" s="3"/>
      <c r="OEK290" s="3"/>
      <c r="OEL290" s="3"/>
      <c r="OEM290" s="3"/>
      <c r="OEN290" s="3"/>
      <c r="OEO290" s="3"/>
      <c r="OEP290" s="3"/>
      <c r="OEQ290" s="3"/>
      <c r="OER290" s="3"/>
      <c r="OES290" s="3"/>
      <c r="OET290" s="3"/>
      <c r="OEU290" s="3"/>
      <c r="OEV290" s="3"/>
      <c r="OEW290" s="3"/>
      <c r="OEX290" s="3"/>
      <c r="OEY290" s="3"/>
      <c r="OEZ290" s="3"/>
      <c r="OFA290" s="3"/>
      <c r="OFB290" s="3"/>
      <c r="OFC290" s="3"/>
      <c r="OFD290" s="3"/>
      <c r="OFE290" s="3"/>
      <c r="OFF290" s="3"/>
      <c r="OFG290" s="3"/>
      <c r="OFH290" s="3"/>
      <c r="OFI290" s="3"/>
      <c r="OFJ290" s="3"/>
      <c r="OFK290" s="3"/>
      <c r="OFL290" s="3"/>
      <c r="OFM290" s="3"/>
      <c r="OFN290" s="3"/>
      <c r="OFO290" s="3"/>
      <c r="OFP290" s="3"/>
      <c r="OFQ290" s="3"/>
      <c r="OFR290" s="3"/>
      <c r="OFS290" s="3"/>
      <c r="OFT290" s="3"/>
      <c r="OFU290" s="3"/>
      <c r="OFV290" s="3"/>
      <c r="OFW290" s="3"/>
      <c r="OFX290" s="3"/>
      <c r="OFY290" s="3"/>
      <c r="OFZ290" s="3"/>
      <c r="OGA290" s="3"/>
      <c r="OGB290" s="3"/>
      <c r="OGC290" s="3"/>
      <c r="OGD290" s="3"/>
      <c r="OGE290" s="3"/>
      <c r="OGF290" s="3"/>
      <c r="OGG290" s="3"/>
      <c r="OGH290" s="3"/>
      <c r="OGI290" s="3"/>
      <c r="OGJ290" s="3"/>
      <c r="OGK290" s="3"/>
      <c r="OGL290" s="3"/>
      <c r="OGM290" s="3"/>
      <c r="OGN290" s="3"/>
      <c r="OGO290" s="3"/>
      <c r="OGP290" s="3"/>
      <c r="OGQ290" s="3"/>
      <c r="OGR290" s="3"/>
      <c r="OGS290" s="3"/>
      <c r="OGT290" s="3"/>
      <c r="OGU290" s="3"/>
      <c r="OGV290" s="3"/>
      <c r="OGW290" s="3"/>
      <c r="OGX290" s="3"/>
      <c r="OGY290" s="3"/>
      <c r="OGZ290" s="3"/>
      <c r="OHA290" s="3"/>
      <c r="OHB290" s="3"/>
      <c r="OHC290" s="3"/>
      <c r="OHD290" s="3"/>
      <c r="OHE290" s="3"/>
      <c r="OHF290" s="3"/>
      <c r="OHG290" s="3"/>
      <c r="OHH290" s="3"/>
      <c r="OHI290" s="3"/>
      <c r="OHJ290" s="3"/>
      <c r="OHK290" s="3"/>
      <c r="OHL290" s="3"/>
      <c r="OHM290" s="3"/>
      <c r="OHN290" s="3"/>
      <c r="OHO290" s="3"/>
      <c r="OHP290" s="3"/>
      <c r="OHQ290" s="3"/>
      <c r="OHR290" s="3"/>
      <c r="OHS290" s="3"/>
      <c r="OHT290" s="3"/>
      <c r="OHU290" s="3"/>
      <c r="OHV290" s="3"/>
      <c r="OHW290" s="3"/>
      <c r="OHX290" s="3"/>
      <c r="OHY290" s="3"/>
      <c r="OHZ290" s="3"/>
      <c r="OIA290" s="3"/>
      <c r="OIB290" s="3"/>
      <c r="OIC290" s="3"/>
      <c r="OID290" s="3"/>
      <c r="OIE290" s="3"/>
      <c r="OIF290" s="3"/>
      <c r="OIG290" s="3"/>
      <c r="OIH290" s="3"/>
      <c r="OII290" s="3"/>
      <c r="OIJ290" s="3"/>
      <c r="OIK290" s="3"/>
      <c r="OIL290" s="3"/>
      <c r="OIM290" s="3"/>
      <c r="OIN290" s="3"/>
      <c r="OIO290" s="3"/>
      <c r="OIP290" s="3"/>
      <c r="OIQ290" s="3"/>
      <c r="OIR290" s="3"/>
      <c r="OIS290" s="3"/>
      <c r="OIT290" s="3"/>
      <c r="OIU290" s="3"/>
      <c r="OIV290" s="3"/>
      <c r="OIW290" s="3"/>
      <c r="OIX290" s="3"/>
      <c r="OIY290" s="3"/>
      <c r="OIZ290" s="3"/>
      <c r="OJA290" s="3"/>
      <c r="OJB290" s="3"/>
      <c r="OJC290" s="3"/>
      <c r="OJD290" s="3"/>
      <c r="OJE290" s="3"/>
      <c r="OJF290" s="3"/>
      <c r="OJG290" s="3"/>
      <c r="OJH290" s="3"/>
      <c r="OJI290" s="3"/>
      <c r="OJJ290" s="3"/>
      <c r="OJK290" s="3"/>
      <c r="OJL290" s="3"/>
      <c r="OJM290" s="3"/>
      <c r="OJN290" s="3"/>
      <c r="OJO290" s="3"/>
      <c r="OJP290" s="3"/>
      <c r="OJQ290" s="3"/>
      <c r="OJR290" s="3"/>
      <c r="OJS290" s="3"/>
      <c r="OJT290" s="3"/>
      <c r="OJU290" s="3"/>
      <c r="OJV290" s="3"/>
      <c r="OJW290" s="3"/>
      <c r="OJX290" s="3"/>
      <c r="OJY290" s="3"/>
      <c r="OJZ290" s="3"/>
      <c r="OKA290" s="3"/>
      <c r="OKB290" s="3"/>
      <c r="OKC290" s="3"/>
      <c r="OKD290" s="3"/>
      <c r="OKE290" s="3"/>
      <c r="OKF290" s="3"/>
      <c r="OKG290" s="3"/>
      <c r="OKH290" s="3"/>
      <c r="OKI290" s="3"/>
      <c r="OKJ290" s="3"/>
      <c r="OKK290" s="3"/>
      <c r="OKL290" s="3"/>
      <c r="OKM290" s="3"/>
      <c r="OKN290" s="3"/>
      <c r="OKO290" s="3"/>
      <c r="OKP290" s="3"/>
      <c r="OKQ290" s="3"/>
      <c r="OKR290" s="3"/>
      <c r="OKS290" s="3"/>
      <c r="OKT290" s="3"/>
      <c r="OKU290" s="3"/>
      <c r="OKV290" s="3"/>
      <c r="OKW290" s="3"/>
      <c r="OKX290" s="3"/>
      <c r="OKY290" s="3"/>
      <c r="OKZ290" s="3"/>
      <c r="OLA290" s="3"/>
      <c r="OLB290" s="3"/>
      <c r="OLC290" s="3"/>
      <c r="OLD290" s="3"/>
      <c r="OLE290" s="3"/>
      <c r="OLF290" s="3"/>
      <c r="OLG290" s="3"/>
      <c r="OLH290" s="3"/>
      <c r="OLI290" s="3"/>
      <c r="OLJ290" s="3"/>
      <c r="OLK290" s="3"/>
      <c r="OLL290" s="3"/>
      <c r="OLM290" s="3"/>
      <c r="OLN290" s="3"/>
      <c r="OLO290" s="3"/>
      <c r="OLP290" s="3"/>
      <c r="OLQ290" s="3"/>
      <c r="OLR290" s="3"/>
      <c r="OLS290" s="3"/>
      <c r="OLT290" s="3"/>
      <c r="OLU290" s="3"/>
      <c r="OLV290" s="3"/>
      <c r="OLW290" s="3"/>
      <c r="OLX290" s="3"/>
      <c r="OLY290" s="3"/>
      <c r="OLZ290" s="3"/>
      <c r="OMA290" s="3"/>
      <c r="OMB290" s="3"/>
      <c r="OMC290" s="3"/>
      <c r="OMD290" s="3"/>
      <c r="OME290" s="3"/>
      <c r="OMF290" s="3"/>
      <c r="OMG290" s="3"/>
      <c r="OMH290" s="3"/>
      <c r="OMI290" s="3"/>
      <c r="OMJ290" s="3"/>
      <c r="OMK290" s="3"/>
      <c r="OML290" s="3"/>
      <c r="OMM290" s="3"/>
      <c r="OMN290" s="3"/>
      <c r="OMO290" s="3"/>
      <c r="OMP290" s="3"/>
      <c r="OMQ290" s="3"/>
      <c r="OMR290" s="3"/>
      <c r="OMS290" s="3"/>
      <c r="OMT290" s="3"/>
      <c r="OMU290" s="3"/>
      <c r="OMV290" s="3"/>
      <c r="OMW290" s="3"/>
      <c r="OMX290" s="3"/>
      <c r="OMY290" s="3"/>
      <c r="OMZ290" s="3"/>
      <c r="ONA290" s="3"/>
      <c r="ONB290" s="3"/>
      <c r="ONC290" s="3"/>
      <c r="OND290" s="3"/>
      <c r="ONE290" s="3"/>
      <c r="ONF290" s="3"/>
      <c r="ONG290" s="3"/>
      <c r="ONH290" s="3"/>
      <c r="ONI290" s="3"/>
      <c r="ONJ290" s="3"/>
      <c r="ONK290" s="3"/>
      <c r="ONL290" s="3"/>
      <c r="ONM290" s="3"/>
      <c r="ONN290" s="3"/>
      <c r="ONO290" s="3"/>
      <c r="ONP290" s="3"/>
      <c r="ONQ290" s="3"/>
      <c r="ONR290" s="3"/>
      <c r="ONS290" s="3"/>
      <c r="ONT290" s="3"/>
      <c r="ONU290" s="3"/>
      <c r="ONV290" s="3"/>
      <c r="ONW290" s="3"/>
      <c r="ONX290" s="3"/>
      <c r="ONY290" s="3"/>
      <c r="ONZ290" s="3"/>
      <c r="OOA290" s="3"/>
      <c r="OOB290" s="3"/>
      <c r="OOC290" s="3"/>
      <c r="OOD290" s="3"/>
      <c r="OOE290" s="3"/>
      <c r="OOF290" s="3"/>
      <c r="OOG290" s="3"/>
      <c r="OOH290" s="3"/>
      <c r="OOI290" s="3"/>
      <c r="OOJ290" s="3"/>
      <c r="OOK290" s="3"/>
      <c r="OOL290" s="3"/>
      <c r="OOM290" s="3"/>
      <c r="OON290" s="3"/>
      <c r="OOO290" s="3"/>
      <c r="OOP290" s="3"/>
      <c r="OOQ290" s="3"/>
      <c r="OOR290" s="3"/>
      <c r="OOS290" s="3"/>
      <c r="OOT290" s="3"/>
      <c r="OOU290" s="3"/>
      <c r="OOV290" s="3"/>
      <c r="OOW290" s="3"/>
      <c r="OOX290" s="3"/>
      <c r="OOY290" s="3"/>
      <c r="OOZ290" s="3"/>
      <c r="OPA290" s="3"/>
      <c r="OPB290" s="3"/>
      <c r="OPC290" s="3"/>
      <c r="OPD290" s="3"/>
      <c r="OPE290" s="3"/>
      <c r="OPF290" s="3"/>
      <c r="OPG290" s="3"/>
      <c r="OPH290" s="3"/>
      <c r="OPI290" s="3"/>
      <c r="OPJ290" s="3"/>
      <c r="OPK290" s="3"/>
      <c r="OPL290" s="3"/>
      <c r="OPM290" s="3"/>
      <c r="OPN290" s="3"/>
      <c r="OPO290" s="3"/>
      <c r="OPP290" s="3"/>
      <c r="OPQ290" s="3"/>
      <c r="OPR290" s="3"/>
      <c r="OPS290" s="3"/>
      <c r="OPT290" s="3"/>
      <c r="OPU290" s="3"/>
      <c r="OPV290" s="3"/>
      <c r="OPW290" s="3"/>
      <c r="OPX290" s="3"/>
      <c r="OPY290" s="3"/>
      <c r="OPZ290" s="3"/>
      <c r="OQA290" s="3"/>
      <c r="OQB290" s="3"/>
      <c r="OQC290" s="3"/>
      <c r="OQD290" s="3"/>
      <c r="OQE290" s="3"/>
      <c r="OQF290" s="3"/>
      <c r="OQG290" s="3"/>
      <c r="OQH290" s="3"/>
      <c r="OQI290" s="3"/>
      <c r="OQJ290" s="3"/>
      <c r="OQK290" s="3"/>
      <c r="OQL290" s="3"/>
      <c r="OQM290" s="3"/>
      <c r="OQN290" s="3"/>
      <c r="OQO290" s="3"/>
      <c r="OQP290" s="3"/>
      <c r="OQQ290" s="3"/>
      <c r="OQR290" s="3"/>
      <c r="OQS290" s="3"/>
      <c r="OQT290" s="3"/>
      <c r="OQU290" s="3"/>
      <c r="OQV290" s="3"/>
      <c r="OQW290" s="3"/>
      <c r="OQX290" s="3"/>
      <c r="OQY290" s="3"/>
      <c r="OQZ290" s="3"/>
      <c r="ORA290" s="3"/>
      <c r="ORB290" s="3"/>
      <c r="ORC290" s="3"/>
      <c r="ORD290" s="3"/>
      <c r="ORE290" s="3"/>
      <c r="ORF290" s="3"/>
      <c r="ORG290" s="3"/>
      <c r="ORH290" s="3"/>
      <c r="ORI290" s="3"/>
      <c r="ORJ290" s="3"/>
      <c r="ORK290" s="3"/>
      <c r="ORL290" s="3"/>
      <c r="ORM290" s="3"/>
      <c r="ORN290" s="3"/>
      <c r="ORO290" s="3"/>
      <c r="ORP290" s="3"/>
      <c r="ORQ290" s="3"/>
      <c r="ORR290" s="3"/>
      <c r="ORS290" s="3"/>
      <c r="ORT290" s="3"/>
      <c r="ORU290" s="3"/>
      <c r="ORV290" s="3"/>
      <c r="ORW290" s="3"/>
      <c r="ORX290" s="3"/>
      <c r="ORY290" s="3"/>
      <c r="ORZ290" s="3"/>
      <c r="OSA290" s="3"/>
      <c r="OSB290" s="3"/>
      <c r="OSC290" s="3"/>
      <c r="OSD290" s="3"/>
      <c r="OSE290" s="3"/>
      <c r="OSF290" s="3"/>
      <c r="OSG290" s="3"/>
      <c r="OSH290" s="3"/>
      <c r="OSI290" s="3"/>
      <c r="OSJ290" s="3"/>
      <c r="OSK290" s="3"/>
      <c r="OSL290" s="3"/>
      <c r="OSM290" s="3"/>
      <c r="OSN290" s="3"/>
      <c r="OSO290" s="3"/>
      <c r="OSP290" s="3"/>
      <c r="OSQ290" s="3"/>
      <c r="OSR290" s="3"/>
      <c r="OSS290" s="3"/>
      <c r="OST290" s="3"/>
      <c r="OSU290" s="3"/>
      <c r="OSV290" s="3"/>
      <c r="OSW290" s="3"/>
      <c r="OSX290" s="3"/>
      <c r="OSY290" s="3"/>
      <c r="OSZ290" s="3"/>
      <c r="OTA290" s="3"/>
      <c r="OTB290" s="3"/>
      <c r="OTC290" s="3"/>
      <c r="OTD290" s="3"/>
      <c r="OTE290" s="3"/>
      <c r="OTF290" s="3"/>
      <c r="OTG290" s="3"/>
      <c r="OTH290" s="3"/>
      <c r="OTI290" s="3"/>
      <c r="OTJ290" s="3"/>
      <c r="OTK290" s="3"/>
      <c r="OTL290" s="3"/>
      <c r="OTM290" s="3"/>
      <c r="OTN290" s="3"/>
      <c r="OTO290" s="3"/>
      <c r="OTP290" s="3"/>
      <c r="OTQ290" s="3"/>
      <c r="OTR290" s="3"/>
      <c r="OTS290" s="3"/>
      <c r="OTT290" s="3"/>
      <c r="OTU290" s="3"/>
      <c r="OTV290" s="3"/>
      <c r="OTW290" s="3"/>
      <c r="OTX290" s="3"/>
      <c r="OTY290" s="3"/>
      <c r="OTZ290" s="3"/>
      <c r="OUA290" s="3"/>
      <c r="OUB290" s="3"/>
      <c r="OUC290" s="3"/>
      <c r="OUD290" s="3"/>
      <c r="OUE290" s="3"/>
      <c r="OUF290" s="3"/>
      <c r="OUG290" s="3"/>
      <c r="OUH290" s="3"/>
      <c r="OUI290" s="3"/>
      <c r="OUJ290" s="3"/>
      <c r="OUK290" s="3"/>
      <c r="OUL290" s="3"/>
      <c r="OUM290" s="3"/>
      <c r="OUN290" s="3"/>
      <c r="OUO290" s="3"/>
      <c r="OUP290" s="3"/>
      <c r="OUQ290" s="3"/>
      <c r="OUR290" s="3"/>
      <c r="OUS290" s="3"/>
      <c r="OUT290" s="3"/>
      <c r="OUU290" s="3"/>
      <c r="OUV290" s="3"/>
      <c r="OUW290" s="3"/>
      <c r="OUX290" s="3"/>
      <c r="OUY290" s="3"/>
      <c r="OUZ290" s="3"/>
      <c r="OVA290" s="3"/>
      <c r="OVB290" s="3"/>
      <c r="OVC290" s="3"/>
      <c r="OVD290" s="3"/>
      <c r="OVE290" s="3"/>
      <c r="OVF290" s="3"/>
      <c r="OVG290" s="3"/>
      <c r="OVH290" s="3"/>
      <c r="OVI290" s="3"/>
      <c r="OVJ290" s="3"/>
      <c r="OVK290" s="3"/>
      <c r="OVL290" s="3"/>
      <c r="OVM290" s="3"/>
      <c r="OVN290" s="3"/>
      <c r="OVO290" s="3"/>
      <c r="OVP290" s="3"/>
      <c r="OVQ290" s="3"/>
      <c r="OVR290" s="3"/>
      <c r="OVS290" s="3"/>
      <c r="OVT290" s="3"/>
      <c r="OVU290" s="3"/>
      <c r="OVV290" s="3"/>
      <c r="OVW290" s="3"/>
      <c r="OVX290" s="3"/>
      <c r="OVY290" s="3"/>
      <c r="OVZ290" s="3"/>
      <c r="OWA290" s="3"/>
      <c r="OWB290" s="3"/>
      <c r="OWC290" s="3"/>
      <c r="OWD290" s="3"/>
      <c r="OWE290" s="3"/>
      <c r="OWF290" s="3"/>
      <c r="OWG290" s="3"/>
      <c r="OWH290" s="3"/>
      <c r="OWI290" s="3"/>
      <c r="OWJ290" s="3"/>
      <c r="OWK290" s="3"/>
      <c r="OWL290" s="3"/>
      <c r="OWM290" s="3"/>
      <c r="OWN290" s="3"/>
      <c r="OWO290" s="3"/>
      <c r="OWP290" s="3"/>
      <c r="OWQ290" s="3"/>
      <c r="OWR290" s="3"/>
      <c r="OWS290" s="3"/>
      <c r="OWT290" s="3"/>
      <c r="OWU290" s="3"/>
      <c r="OWV290" s="3"/>
      <c r="OWW290" s="3"/>
      <c r="OWX290" s="3"/>
      <c r="OWY290" s="3"/>
      <c r="OWZ290" s="3"/>
      <c r="OXA290" s="3"/>
      <c r="OXB290" s="3"/>
      <c r="OXC290" s="3"/>
      <c r="OXD290" s="3"/>
      <c r="OXE290" s="3"/>
      <c r="OXF290" s="3"/>
      <c r="OXG290" s="3"/>
      <c r="OXH290" s="3"/>
      <c r="OXI290" s="3"/>
      <c r="OXJ290" s="3"/>
      <c r="OXK290" s="3"/>
      <c r="OXL290" s="3"/>
      <c r="OXM290" s="3"/>
      <c r="OXN290" s="3"/>
      <c r="OXO290" s="3"/>
      <c r="OXP290" s="3"/>
      <c r="OXQ290" s="3"/>
      <c r="OXR290" s="3"/>
      <c r="OXS290" s="3"/>
      <c r="OXT290" s="3"/>
      <c r="OXU290" s="3"/>
      <c r="OXV290" s="3"/>
      <c r="OXW290" s="3"/>
      <c r="OXX290" s="3"/>
      <c r="OXY290" s="3"/>
      <c r="OXZ290" s="3"/>
      <c r="OYA290" s="3"/>
      <c r="OYB290" s="3"/>
      <c r="OYC290" s="3"/>
      <c r="OYD290" s="3"/>
      <c r="OYE290" s="3"/>
      <c r="OYF290" s="3"/>
      <c r="OYG290" s="3"/>
      <c r="OYH290" s="3"/>
      <c r="OYI290" s="3"/>
      <c r="OYJ290" s="3"/>
      <c r="OYK290" s="3"/>
      <c r="OYL290" s="3"/>
      <c r="OYM290" s="3"/>
      <c r="OYN290" s="3"/>
      <c r="OYO290" s="3"/>
      <c r="OYP290" s="3"/>
      <c r="OYQ290" s="3"/>
      <c r="OYR290" s="3"/>
      <c r="OYS290" s="3"/>
      <c r="OYT290" s="3"/>
      <c r="OYU290" s="3"/>
      <c r="OYV290" s="3"/>
      <c r="OYW290" s="3"/>
      <c r="OYX290" s="3"/>
      <c r="OYY290" s="3"/>
      <c r="OYZ290" s="3"/>
      <c r="OZA290" s="3"/>
      <c r="OZB290" s="3"/>
      <c r="OZC290" s="3"/>
      <c r="OZD290" s="3"/>
      <c r="OZE290" s="3"/>
      <c r="OZF290" s="3"/>
      <c r="OZG290" s="3"/>
      <c r="OZH290" s="3"/>
      <c r="OZI290" s="3"/>
      <c r="OZJ290" s="3"/>
      <c r="OZK290" s="3"/>
      <c r="OZL290" s="3"/>
      <c r="OZM290" s="3"/>
      <c r="OZN290" s="3"/>
      <c r="OZO290" s="3"/>
      <c r="OZP290" s="3"/>
      <c r="OZQ290" s="3"/>
      <c r="OZR290" s="3"/>
      <c r="OZS290" s="3"/>
      <c r="OZT290" s="3"/>
      <c r="OZU290" s="3"/>
      <c r="OZV290" s="3"/>
      <c r="OZW290" s="3"/>
      <c r="OZX290" s="3"/>
      <c r="OZY290" s="3"/>
      <c r="OZZ290" s="3"/>
      <c r="PAA290" s="3"/>
      <c r="PAB290" s="3"/>
      <c r="PAC290" s="3"/>
      <c r="PAD290" s="3"/>
      <c r="PAE290" s="3"/>
      <c r="PAF290" s="3"/>
      <c r="PAG290" s="3"/>
      <c r="PAH290" s="3"/>
      <c r="PAI290" s="3"/>
      <c r="PAJ290" s="3"/>
      <c r="PAK290" s="3"/>
      <c r="PAL290" s="3"/>
      <c r="PAM290" s="3"/>
      <c r="PAN290" s="3"/>
      <c r="PAO290" s="3"/>
      <c r="PAP290" s="3"/>
      <c r="PAQ290" s="3"/>
      <c r="PAR290" s="3"/>
      <c r="PAS290" s="3"/>
      <c r="PAT290" s="3"/>
      <c r="PAU290" s="3"/>
      <c r="PAV290" s="3"/>
      <c r="PAW290" s="3"/>
      <c r="PAX290" s="3"/>
      <c r="PAY290" s="3"/>
      <c r="PAZ290" s="3"/>
      <c r="PBA290" s="3"/>
      <c r="PBB290" s="3"/>
      <c r="PBC290" s="3"/>
      <c r="PBD290" s="3"/>
      <c r="PBE290" s="3"/>
      <c r="PBF290" s="3"/>
      <c r="PBG290" s="3"/>
      <c r="PBH290" s="3"/>
      <c r="PBI290" s="3"/>
      <c r="PBJ290" s="3"/>
      <c r="PBK290" s="3"/>
      <c r="PBL290" s="3"/>
      <c r="PBM290" s="3"/>
      <c r="PBN290" s="3"/>
      <c r="PBO290" s="3"/>
      <c r="PBP290" s="3"/>
      <c r="PBQ290" s="3"/>
      <c r="PBR290" s="3"/>
      <c r="PBS290" s="3"/>
      <c r="PBT290" s="3"/>
      <c r="PBU290" s="3"/>
      <c r="PBV290" s="3"/>
      <c r="PBW290" s="3"/>
      <c r="PBX290" s="3"/>
      <c r="PBY290" s="3"/>
      <c r="PBZ290" s="3"/>
      <c r="PCA290" s="3"/>
      <c r="PCB290" s="3"/>
      <c r="PCC290" s="3"/>
      <c r="PCD290" s="3"/>
      <c r="PCE290" s="3"/>
      <c r="PCF290" s="3"/>
      <c r="PCG290" s="3"/>
      <c r="PCH290" s="3"/>
      <c r="PCI290" s="3"/>
      <c r="PCJ290" s="3"/>
      <c r="PCK290" s="3"/>
      <c r="PCL290" s="3"/>
      <c r="PCM290" s="3"/>
      <c r="PCN290" s="3"/>
      <c r="PCO290" s="3"/>
      <c r="PCP290" s="3"/>
      <c r="PCQ290" s="3"/>
      <c r="PCR290" s="3"/>
      <c r="PCS290" s="3"/>
      <c r="PCT290" s="3"/>
      <c r="PCU290" s="3"/>
      <c r="PCV290" s="3"/>
      <c r="PCW290" s="3"/>
      <c r="PCX290" s="3"/>
      <c r="PCY290" s="3"/>
      <c r="PCZ290" s="3"/>
      <c r="PDA290" s="3"/>
      <c r="PDB290" s="3"/>
      <c r="PDC290" s="3"/>
      <c r="PDD290" s="3"/>
      <c r="PDE290" s="3"/>
      <c r="PDF290" s="3"/>
      <c r="PDG290" s="3"/>
      <c r="PDH290" s="3"/>
      <c r="PDI290" s="3"/>
      <c r="PDJ290" s="3"/>
      <c r="PDK290" s="3"/>
      <c r="PDL290" s="3"/>
      <c r="PDM290" s="3"/>
      <c r="PDN290" s="3"/>
      <c r="PDO290" s="3"/>
      <c r="PDP290" s="3"/>
      <c r="PDQ290" s="3"/>
      <c r="PDR290" s="3"/>
      <c r="PDS290" s="3"/>
      <c r="PDT290" s="3"/>
      <c r="PDU290" s="3"/>
      <c r="PDV290" s="3"/>
      <c r="PDW290" s="3"/>
      <c r="PDX290" s="3"/>
      <c r="PDY290" s="3"/>
      <c r="PDZ290" s="3"/>
      <c r="PEA290" s="3"/>
      <c r="PEB290" s="3"/>
      <c r="PEC290" s="3"/>
      <c r="PED290" s="3"/>
      <c r="PEE290" s="3"/>
      <c r="PEF290" s="3"/>
      <c r="PEG290" s="3"/>
      <c r="PEH290" s="3"/>
      <c r="PEI290" s="3"/>
      <c r="PEJ290" s="3"/>
      <c r="PEK290" s="3"/>
      <c r="PEL290" s="3"/>
      <c r="PEM290" s="3"/>
      <c r="PEN290" s="3"/>
      <c r="PEO290" s="3"/>
      <c r="PEP290" s="3"/>
      <c r="PEQ290" s="3"/>
      <c r="PER290" s="3"/>
      <c r="PES290" s="3"/>
      <c r="PET290" s="3"/>
      <c r="PEU290" s="3"/>
      <c r="PEV290" s="3"/>
      <c r="PEW290" s="3"/>
      <c r="PEX290" s="3"/>
      <c r="PEY290" s="3"/>
      <c r="PEZ290" s="3"/>
      <c r="PFA290" s="3"/>
      <c r="PFB290" s="3"/>
      <c r="PFC290" s="3"/>
      <c r="PFD290" s="3"/>
      <c r="PFE290" s="3"/>
      <c r="PFF290" s="3"/>
      <c r="PFG290" s="3"/>
      <c r="PFH290" s="3"/>
      <c r="PFI290" s="3"/>
      <c r="PFJ290" s="3"/>
      <c r="PFK290" s="3"/>
      <c r="PFL290" s="3"/>
      <c r="PFM290" s="3"/>
      <c r="PFN290" s="3"/>
      <c r="PFO290" s="3"/>
      <c r="PFP290" s="3"/>
      <c r="PFQ290" s="3"/>
      <c r="PFR290" s="3"/>
      <c r="PFS290" s="3"/>
      <c r="PFT290" s="3"/>
      <c r="PFU290" s="3"/>
      <c r="PFV290" s="3"/>
      <c r="PFW290" s="3"/>
      <c r="PFX290" s="3"/>
      <c r="PFY290" s="3"/>
      <c r="PFZ290" s="3"/>
      <c r="PGA290" s="3"/>
      <c r="PGB290" s="3"/>
      <c r="PGC290" s="3"/>
      <c r="PGD290" s="3"/>
      <c r="PGE290" s="3"/>
      <c r="PGF290" s="3"/>
      <c r="PGG290" s="3"/>
      <c r="PGH290" s="3"/>
      <c r="PGI290" s="3"/>
      <c r="PGJ290" s="3"/>
      <c r="PGK290" s="3"/>
      <c r="PGL290" s="3"/>
      <c r="PGM290" s="3"/>
      <c r="PGN290" s="3"/>
      <c r="PGO290" s="3"/>
      <c r="PGP290" s="3"/>
      <c r="PGQ290" s="3"/>
      <c r="PGR290" s="3"/>
      <c r="PGS290" s="3"/>
      <c r="PGT290" s="3"/>
      <c r="PGU290" s="3"/>
      <c r="PGV290" s="3"/>
      <c r="PGW290" s="3"/>
      <c r="PGX290" s="3"/>
      <c r="PGY290" s="3"/>
      <c r="PGZ290" s="3"/>
      <c r="PHA290" s="3"/>
      <c r="PHB290" s="3"/>
      <c r="PHC290" s="3"/>
      <c r="PHD290" s="3"/>
      <c r="PHE290" s="3"/>
      <c r="PHF290" s="3"/>
      <c r="PHG290" s="3"/>
      <c r="PHH290" s="3"/>
      <c r="PHI290" s="3"/>
      <c r="PHJ290" s="3"/>
      <c r="PHK290" s="3"/>
      <c r="PHL290" s="3"/>
      <c r="PHM290" s="3"/>
      <c r="PHN290" s="3"/>
      <c r="PHO290" s="3"/>
      <c r="PHP290" s="3"/>
      <c r="PHQ290" s="3"/>
      <c r="PHR290" s="3"/>
      <c r="PHS290" s="3"/>
      <c r="PHT290" s="3"/>
      <c r="PHU290" s="3"/>
      <c r="PHV290" s="3"/>
      <c r="PHW290" s="3"/>
      <c r="PHX290" s="3"/>
      <c r="PHY290" s="3"/>
      <c r="PHZ290" s="3"/>
      <c r="PIA290" s="3"/>
      <c r="PIB290" s="3"/>
      <c r="PIC290" s="3"/>
      <c r="PID290" s="3"/>
      <c r="PIE290" s="3"/>
      <c r="PIF290" s="3"/>
      <c r="PIG290" s="3"/>
      <c r="PIH290" s="3"/>
      <c r="PII290" s="3"/>
      <c r="PIJ290" s="3"/>
      <c r="PIK290" s="3"/>
      <c r="PIL290" s="3"/>
      <c r="PIM290" s="3"/>
      <c r="PIN290" s="3"/>
      <c r="PIO290" s="3"/>
      <c r="PIP290" s="3"/>
      <c r="PIQ290" s="3"/>
      <c r="PIR290" s="3"/>
      <c r="PIS290" s="3"/>
      <c r="PIT290" s="3"/>
      <c r="PIU290" s="3"/>
      <c r="PIV290" s="3"/>
      <c r="PIW290" s="3"/>
      <c r="PIX290" s="3"/>
      <c r="PIY290" s="3"/>
      <c r="PIZ290" s="3"/>
      <c r="PJA290" s="3"/>
      <c r="PJB290" s="3"/>
      <c r="PJC290" s="3"/>
      <c r="PJD290" s="3"/>
      <c r="PJE290" s="3"/>
      <c r="PJF290" s="3"/>
      <c r="PJG290" s="3"/>
      <c r="PJH290" s="3"/>
      <c r="PJI290" s="3"/>
      <c r="PJJ290" s="3"/>
      <c r="PJK290" s="3"/>
      <c r="PJL290" s="3"/>
      <c r="PJM290" s="3"/>
      <c r="PJN290" s="3"/>
      <c r="PJO290" s="3"/>
      <c r="PJP290" s="3"/>
      <c r="PJQ290" s="3"/>
      <c r="PJR290" s="3"/>
      <c r="PJS290" s="3"/>
      <c r="PJT290" s="3"/>
      <c r="PJU290" s="3"/>
      <c r="PJV290" s="3"/>
      <c r="PJW290" s="3"/>
      <c r="PJX290" s="3"/>
      <c r="PJY290" s="3"/>
      <c r="PJZ290" s="3"/>
      <c r="PKA290" s="3"/>
      <c r="PKB290" s="3"/>
      <c r="PKC290" s="3"/>
      <c r="PKD290" s="3"/>
      <c r="PKE290" s="3"/>
      <c r="PKF290" s="3"/>
      <c r="PKG290" s="3"/>
      <c r="PKH290" s="3"/>
      <c r="PKI290" s="3"/>
      <c r="PKJ290" s="3"/>
      <c r="PKK290" s="3"/>
      <c r="PKL290" s="3"/>
      <c r="PKM290" s="3"/>
      <c r="PKN290" s="3"/>
      <c r="PKO290" s="3"/>
      <c r="PKP290" s="3"/>
      <c r="PKQ290" s="3"/>
      <c r="PKR290" s="3"/>
      <c r="PKS290" s="3"/>
      <c r="PKT290" s="3"/>
      <c r="PKU290" s="3"/>
      <c r="PKV290" s="3"/>
      <c r="PKW290" s="3"/>
      <c r="PKX290" s="3"/>
      <c r="PKY290" s="3"/>
      <c r="PKZ290" s="3"/>
      <c r="PLA290" s="3"/>
      <c r="PLB290" s="3"/>
      <c r="PLC290" s="3"/>
      <c r="PLD290" s="3"/>
      <c r="PLE290" s="3"/>
      <c r="PLF290" s="3"/>
      <c r="PLG290" s="3"/>
      <c r="PLH290" s="3"/>
      <c r="PLI290" s="3"/>
      <c r="PLJ290" s="3"/>
      <c r="PLK290" s="3"/>
      <c r="PLL290" s="3"/>
      <c r="PLM290" s="3"/>
      <c r="PLN290" s="3"/>
      <c r="PLO290" s="3"/>
      <c r="PLP290" s="3"/>
      <c r="PLQ290" s="3"/>
      <c r="PLR290" s="3"/>
      <c r="PLS290" s="3"/>
      <c r="PLT290" s="3"/>
      <c r="PLU290" s="3"/>
      <c r="PLV290" s="3"/>
      <c r="PLW290" s="3"/>
      <c r="PLX290" s="3"/>
      <c r="PLY290" s="3"/>
      <c r="PLZ290" s="3"/>
      <c r="PMA290" s="3"/>
      <c r="PMB290" s="3"/>
      <c r="PMC290" s="3"/>
      <c r="PMD290" s="3"/>
      <c r="PME290" s="3"/>
      <c r="PMF290" s="3"/>
      <c r="PMG290" s="3"/>
      <c r="PMH290" s="3"/>
      <c r="PMI290" s="3"/>
      <c r="PMJ290" s="3"/>
      <c r="PMK290" s="3"/>
      <c r="PML290" s="3"/>
      <c r="PMM290" s="3"/>
      <c r="PMN290" s="3"/>
      <c r="PMO290" s="3"/>
      <c r="PMP290" s="3"/>
      <c r="PMQ290" s="3"/>
      <c r="PMR290" s="3"/>
      <c r="PMS290" s="3"/>
      <c r="PMT290" s="3"/>
      <c r="PMU290" s="3"/>
      <c r="PMV290" s="3"/>
      <c r="PMW290" s="3"/>
      <c r="PMX290" s="3"/>
      <c r="PMY290" s="3"/>
      <c r="PMZ290" s="3"/>
      <c r="PNA290" s="3"/>
      <c r="PNB290" s="3"/>
      <c r="PNC290" s="3"/>
      <c r="PND290" s="3"/>
      <c r="PNE290" s="3"/>
      <c r="PNF290" s="3"/>
      <c r="PNG290" s="3"/>
      <c r="PNH290" s="3"/>
      <c r="PNI290" s="3"/>
      <c r="PNJ290" s="3"/>
      <c r="PNK290" s="3"/>
      <c r="PNL290" s="3"/>
      <c r="PNM290" s="3"/>
      <c r="PNN290" s="3"/>
      <c r="PNO290" s="3"/>
      <c r="PNP290" s="3"/>
      <c r="PNQ290" s="3"/>
      <c r="PNR290" s="3"/>
      <c r="PNS290" s="3"/>
      <c r="PNT290" s="3"/>
      <c r="PNU290" s="3"/>
      <c r="PNV290" s="3"/>
      <c r="PNW290" s="3"/>
      <c r="PNX290" s="3"/>
      <c r="PNY290" s="3"/>
      <c r="PNZ290" s="3"/>
      <c r="POA290" s="3"/>
      <c r="POB290" s="3"/>
      <c r="POC290" s="3"/>
      <c r="POD290" s="3"/>
      <c r="POE290" s="3"/>
      <c r="POF290" s="3"/>
      <c r="POG290" s="3"/>
      <c r="POH290" s="3"/>
      <c r="POI290" s="3"/>
      <c r="POJ290" s="3"/>
      <c r="POK290" s="3"/>
      <c r="POL290" s="3"/>
      <c r="POM290" s="3"/>
      <c r="PON290" s="3"/>
      <c r="POO290" s="3"/>
      <c r="POP290" s="3"/>
      <c r="POQ290" s="3"/>
      <c r="POR290" s="3"/>
      <c r="POS290" s="3"/>
      <c r="POT290" s="3"/>
      <c r="POU290" s="3"/>
      <c r="POV290" s="3"/>
      <c r="POW290" s="3"/>
      <c r="POX290" s="3"/>
      <c r="POY290" s="3"/>
      <c r="POZ290" s="3"/>
      <c r="PPA290" s="3"/>
      <c r="PPB290" s="3"/>
      <c r="PPC290" s="3"/>
      <c r="PPD290" s="3"/>
      <c r="PPE290" s="3"/>
      <c r="PPF290" s="3"/>
      <c r="PPG290" s="3"/>
      <c r="PPH290" s="3"/>
      <c r="PPI290" s="3"/>
      <c r="PPJ290" s="3"/>
      <c r="PPK290" s="3"/>
      <c r="PPL290" s="3"/>
      <c r="PPM290" s="3"/>
      <c r="PPN290" s="3"/>
      <c r="PPO290" s="3"/>
      <c r="PPP290" s="3"/>
      <c r="PPQ290" s="3"/>
      <c r="PPR290" s="3"/>
      <c r="PPS290" s="3"/>
      <c r="PPT290" s="3"/>
      <c r="PPU290" s="3"/>
      <c r="PPV290" s="3"/>
      <c r="PPW290" s="3"/>
      <c r="PPX290" s="3"/>
      <c r="PPY290" s="3"/>
      <c r="PPZ290" s="3"/>
      <c r="PQA290" s="3"/>
      <c r="PQB290" s="3"/>
      <c r="PQC290" s="3"/>
      <c r="PQD290" s="3"/>
      <c r="PQE290" s="3"/>
      <c r="PQF290" s="3"/>
      <c r="PQG290" s="3"/>
      <c r="PQH290" s="3"/>
      <c r="PQI290" s="3"/>
      <c r="PQJ290" s="3"/>
      <c r="PQK290" s="3"/>
      <c r="PQL290" s="3"/>
      <c r="PQM290" s="3"/>
      <c r="PQN290" s="3"/>
      <c r="PQO290" s="3"/>
      <c r="PQP290" s="3"/>
      <c r="PQQ290" s="3"/>
      <c r="PQR290" s="3"/>
      <c r="PQS290" s="3"/>
      <c r="PQT290" s="3"/>
      <c r="PQU290" s="3"/>
      <c r="PQV290" s="3"/>
      <c r="PQW290" s="3"/>
      <c r="PQX290" s="3"/>
      <c r="PQY290" s="3"/>
      <c r="PQZ290" s="3"/>
      <c r="PRA290" s="3"/>
      <c r="PRB290" s="3"/>
      <c r="PRC290" s="3"/>
      <c r="PRD290" s="3"/>
      <c r="PRE290" s="3"/>
      <c r="PRF290" s="3"/>
      <c r="PRG290" s="3"/>
      <c r="PRH290" s="3"/>
      <c r="PRI290" s="3"/>
      <c r="PRJ290" s="3"/>
      <c r="PRK290" s="3"/>
      <c r="PRL290" s="3"/>
      <c r="PRM290" s="3"/>
      <c r="PRN290" s="3"/>
      <c r="PRO290" s="3"/>
      <c r="PRP290" s="3"/>
      <c r="PRQ290" s="3"/>
      <c r="PRR290" s="3"/>
      <c r="PRS290" s="3"/>
      <c r="PRT290" s="3"/>
      <c r="PRU290" s="3"/>
      <c r="PRV290" s="3"/>
      <c r="PRW290" s="3"/>
      <c r="PRX290" s="3"/>
      <c r="PRY290" s="3"/>
      <c r="PRZ290" s="3"/>
      <c r="PSA290" s="3"/>
      <c r="PSB290" s="3"/>
      <c r="PSC290" s="3"/>
      <c r="PSD290" s="3"/>
      <c r="PSE290" s="3"/>
      <c r="PSF290" s="3"/>
      <c r="PSG290" s="3"/>
      <c r="PSH290" s="3"/>
      <c r="PSI290" s="3"/>
      <c r="PSJ290" s="3"/>
      <c r="PSK290" s="3"/>
      <c r="PSL290" s="3"/>
      <c r="PSM290" s="3"/>
      <c r="PSN290" s="3"/>
      <c r="PSO290" s="3"/>
      <c r="PSP290" s="3"/>
      <c r="PSQ290" s="3"/>
      <c r="PSR290" s="3"/>
      <c r="PSS290" s="3"/>
      <c r="PST290" s="3"/>
      <c r="PSU290" s="3"/>
      <c r="PSV290" s="3"/>
      <c r="PSW290" s="3"/>
      <c r="PSX290" s="3"/>
      <c r="PSY290" s="3"/>
      <c r="PSZ290" s="3"/>
      <c r="PTA290" s="3"/>
      <c r="PTB290" s="3"/>
      <c r="PTC290" s="3"/>
      <c r="PTD290" s="3"/>
      <c r="PTE290" s="3"/>
      <c r="PTF290" s="3"/>
      <c r="PTG290" s="3"/>
      <c r="PTH290" s="3"/>
      <c r="PTI290" s="3"/>
      <c r="PTJ290" s="3"/>
      <c r="PTK290" s="3"/>
      <c r="PTL290" s="3"/>
      <c r="PTM290" s="3"/>
      <c r="PTN290" s="3"/>
      <c r="PTO290" s="3"/>
      <c r="PTP290" s="3"/>
      <c r="PTQ290" s="3"/>
      <c r="PTR290" s="3"/>
      <c r="PTS290" s="3"/>
      <c r="PTT290" s="3"/>
      <c r="PTU290" s="3"/>
      <c r="PTV290" s="3"/>
      <c r="PTW290" s="3"/>
      <c r="PTX290" s="3"/>
      <c r="PTY290" s="3"/>
      <c r="PTZ290" s="3"/>
      <c r="PUA290" s="3"/>
      <c r="PUB290" s="3"/>
      <c r="PUC290" s="3"/>
      <c r="PUD290" s="3"/>
      <c r="PUE290" s="3"/>
      <c r="PUF290" s="3"/>
      <c r="PUG290" s="3"/>
      <c r="PUH290" s="3"/>
      <c r="PUI290" s="3"/>
      <c r="PUJ290" s="3"/>
      <c r="PUK290" s="3"/>
      <c r="PUL290" s="3"/>
      <c r="PUM290" s="3"/>
      <c r="PUN290" s="3"/>
      <c r="PUO290" s="3"/>
      <c r="PUP290" s="3"/>
      <c r="PUQ290" s="3"/>
      <c r="PUR290" s="3"/>
      <c r="PUS290" s="3"/>
      <c r="PUT290" s="3"/>
      <c r="PUU290" s="3"/>
      <c r="PUV290" s="3"/>
      <c r="PUW290" s="3"/>
      <c r="PUX290" s="3"/>
      <c r="PUY290" s="3"/>
      <c r="PUZ290" s="3"/>
      <c r="PVA290" s="3"/>
      <c r="PVB290" s="3"/>
      <c r="PVC290" s="3"/>
      <c r="PVD290" s="3"/>
      <c r="PVE290" s="3"/>
      <c r="PVF290" s="3"/>
      <c r="PVG290" s="3"/>
      <c r="PVH290" s="3"/>
      <c r="PVI290" s="3"/>
      <c r="PVJ290" s="3"/>
      <c r="PVK290" s="3"/>
      <c r="PVL290" s="3"/>
      <c r="PVM290" s="3"/>
      <c r="PVN290" s="3"/>
      <c r="PVO290" s="3"/>
      <c r="PVP290" s="3"/>
      <c r="PVQ290" s="3"/>
      <c r="PVR290" s="3"/>
      <c r="PVS290" s="3"/>
      <c r="PVT290" s="3"/>
      <c r="PVU290" s="3"/>
      <c r="PVV290" s="3"/>
      <c r="PVW290" s="3"/>
      <c r="PVX290" s="3"/>
      <c r="PVY290" s="3"/>
      <c r="PVZ290" s="3"/>
      <c r="PWA290" s="3"/>
      <c r="PWB290" s="3"/>
      <c r="PWC290" s="3"/>
      <c r="PWD290" s="3"/>
      <c r="PWE290" s="3"/>
      <c r="PWF290" s="3"/>
      <c r="PWG290" s="3"/>
      <c r="PWH290" s="3"/>
      <c r="PWI290" s="3"/>
      <c r="PWJ290" s="3"/>
      <c r="PWK290" s="3"/>
      <c r="PWL290" s="3"/>
      <c r="PWM290" s="3"/>
      <c r="PWN290" s="3"/>
      <c r="PWO290" s="3"/>
      <c r="PWP290" s="3"/>
      <c r="PWQ290" s="3"/>
      <c r="PWR290" s="3"/>
      <c r="PWS290" s="3"/>
      <c r="PWT290" s="3"/>
      <c r="PWU290" s="3"/>
      <c r="PWV290" s="3"/>
      <c r="PWW290" s="3"/>
      <c r="PWX290" s="3"/>
      <c r="PWY290" s="3"/>
      <c r="PWZ290" s="3"/>
      <c r="PXA290" s="3"/>
      <c r="PXB290" s="3"/>
      <c r="PXC290" s="3"/>
      <c r="PXD290" s="3"/>
      <c r="PXE290" s="3"/>
      <c r="PXF290" s="3"/>
      <c r="PXG290" s="3"/>
      <c r="PXH290" s="3"/>
      <c r="PXI290" s="3"/>
      <c r="PXJ290" s="3"/>
      <c r="PXK290" s="3"/>
      <c r="PXL290" s="3"/>
      <c r="PXM290" s="3"/>
      <c r="PXN290" s="3"/>
      <c r="PXO290" s="3"/>
      <c r="PXP290" s="3"/>
      <c r="PXQ290" s="3"/>
      <c r="PXR290" s="3"/>
      <c r="PXS290" s="3"/>
      <c r="PXT290" s="3"/>
      <c r="PXU290" s="3"/>
      <c r="PXV290" s="3"/>
      <c r="PXW290" s="3"/>
      <c r="PXX290" s="3"/>
      <c r="PXY290" s="3"/>
      <c r="PXZ290" s="3"/>
      <c r="PYA290" s="3"/>
      <c r="PYB290" s="3"/>
      <c r="PYC290" s="3"/>
      <c r="PYD290" s="3"/>
      <c r="PYE290" s="3"/>
      <c r="PYF290" s="3"/>
      <c r="PYG290" s="3"/>
      <c r="PYH290" s="3"/>
      <c r="PYI290" s="3"/>
      <c r="PYJ290" s="3"/>
      <c r="PYK290" s="3"/>
      <c r="PYL290" s="3"/>
      <c r="PYM290" s="3"/>
      <c r="PYN290" s="3"/>
      <c r="PYO290" s="3"/>
      <c r="PYP290" s="3"/>
      <c r="PYQ290" s="3"/>
      <c r="PYR290" s="3"/>
      <c r="PYS290" s="3"/>
      <c r="PYT290" s="3"/>
      <c r="PYU290" s="3"/>
      <c r="PYV290" s="3"/>
      <c r="PYW290" s="3"/>
      <c r="PYX290" s="3"/>
      <c r="PYY290" s="3"/>
      <c r="PYZ290" s="3"/>
      <c r="PZA290" s="3"/>
      <c r="PZB290" s="3"/>
      <c r="PZC290" s="3"/>
      <c r="PZD290" s="3"/>
      <c r="PZE290" s="3"/>
      <c r="PZF290" s="3"/>
      <c r="PZG290" s="3"/>
      <c r="PZH290" s="3"/>
      <c r="PZI290" s="3"/>
      <c r="PZJ290" s="3"/>
      <c r="PZK290" s="3"/>
      <c r="PZL290" s="3"/>
      <c r="PZM290" s="3"/>
      <c r="PZN290" s="3"/>
      <c r="PZO290" s="3"/>
      <c r="PZP290" s="3"/>
      <c r="PZQ290" s="3"/>
      <c r="PZR290" s="3"/>
      <c r="PZS290" s="3"/>
      <c r="PZT290" s="3"/>
      <c r="PZU290" s="3"/>
      <c r="PZV290" s="3"/>
      <c r="PZW290" s="3"/>
      <c r="PZX290" s="3"/>
      <c r="PZY290" s="3"/>
      <c r="PZZ290" s="3"/>
      <c r="QAA290" s="3"/>
      <c r="QAB290" s="3"/>
      <c r="QAC290" s="3"/>
      <c r="QAD290" s="3"/>
      <c r="QAE290" s="3"/>
      <c r="QAF290" s="3"/>
      <c r="QAG290" s="3"/>
      <c r="QAH290" s="3"/>
      <c r="QAI290" s="3"/>
      <c r="QAJ290" s="3"/>
      <c r="QAK290" s="3"/>
      <c r="QAL290" s="3"/>
      <c r="QAM290" s="3"/>
      <c r="QAN290" s="3"/>
      <c r="QAO290" s="3"/>
      <c r="QAP290" s="3"/>
      <c r="QAQ290" s="3"/>
      <c r="QAR290" s="3"/>
      <c r="QAS290" s="3"/>
      <c r="QAT290" s="3"/>
      <c r="QAU290" s="3"/>
      <c r="QAV290" s="3"/>
      <c r="QAW290" s="3"/>
      <c r="QAX290" s="3"/>
      <c r="QAY290" s="3"/>
      <c r="QAZ290" s="3"/>
      <c r="QBA290" s="3"/>
      <c r="QBB290" s="3"/>
      <c r="QBC290" s="3"/>
      <c r="QBD290" s="3"/>
      <c r="QBE290" s="3"/>
      <c r="QBF290" s="3"/>
      <c r="QBG290" s="3"/>
      <c r="QBH290" s="3"/>
      <c r="QBI290" s="3"/>
      <c r="QBJ290" s="3"/>
      <c r="QBK290" s="3"/>
      <c r="QBL290" s="3"/>
      <c r="QBM290" s="3"/>
      <c r="QBN290" s="3"/>
      <c r="QBO290" s="3"/>
      <c r="QBP290" s="3"/>
      <c r="QBQ290" s="3"/>
      <c r="QBR290" s="3"/>
      <c r="QBS290" s="3"/>
      <c r="QBT290" s="3"/>
      <c r="QBU290" s="3"/>
      <c r="QBV290" s="3"/>
      <c r="QBW290" s="3"/>
      <c r="QBX290" s="3"/>
      <c r="QBY290" s="3"/>
      <c r="QBZ290" s="3"/>
      <c r="QCA290" s="3"/>
      <c r="QCB290" s="3"/>
      <c r="QCC290" s="3"/>
      <c r="QCD290" s="3"/>
      <c r="QCE290" s="3"/>
      <c r="QCF290" s="3"/>
      <c r="QCG290" s="3"/>
      <c r="QCH290" s="3"/>
      <c r="QCI290" s="3"/>
      <c r="QCJ290" s="3"/>
      <c r="QCK290" s="3"/>
      <c r="QCL290" s="3"/>
      <c r="QCM290" s="3"/>
      <c r="QCN290" s="3"/>
      <c r="QCO290" s="3"/>
      <c r="QCP290" s="3"/>
      <c r="QCQ290" s="3"/>
      <c r="QCR290" s="3"/>
      <c r="QCS290" s="3"/>
      <c r="QCT290" s="3"/>
      <c r="QCU290" s="3"/>
      <c r="QCV290" s="3"/>
      <c r="QCW290" s="3"/>
      <c r="QCX290" s="3"/>
      <c r="QCY290" s="3"/>
      <c r="QCZ290" s="3"/>
      <c r="QDA290" s="3"/>
      <c r="QDB290" s="3"/>
      <c r="QDC290" s="3"/>
      <c r="QDD290" s="3"/>
      <c r="QDE290" s="3"/>
      <c r="QDF290" s="3"/>
      <c r="QDG290" s="3"/>
      <c r="QDH290" s="3"/>
      <c r="QDI290" s="3"/>
      <c r="QDJ290" s="3"/>
      <c r="QDK290" s="3"/>
      <c r="QDL290" s="3"/>
      <c r="QDM290" s="3"/>
      <c r="QDN290" s="3"/>
      <c r="QDO290" s="3"/>
      <c r="QDP290" s="3"/>
      <c r="QDQ290" s="3"/>
      <c r="QDR290" s="3"/>
      <c r="QDS290" s="3"/>
      <c r="QDT290" s="3"/>
      <c r="QDU290" s="3"/>
      <c r="QDV290" s="3"/>
      <c r="QDW290" s="3"/>
      <c r="QDX290" s="3"/>
      <c r="QDY290" s="3"/>
      <c r="QDZ290" s="3"/>
      <c r="QEA290" s="3"/>
      <c r="QEB290" s="3"/>
      <c r="QEC290" s="3"/>
      <c r="QED290" s="3"/>
      <c r="QEE290" s="3"/>
      <c r="QEF290" s="3"/>
      <c r="QEG290" s="3"/>
      <c r="QEH290" s="3"/>
      <c r="QEI290" s="3"/>
      <c r="QEJ290" s="3"/>
      <c r="QEK290" s="3"/>
      <c r="QEL290" s="3"/>
      <c r="QEM290" s="3"/>
      <c r="QEN290" s="3"/>
      <c r="QEO290" s="3"/>
      <c r="QEP290" s="3"/>
      <c r="QEQ290" s="3"/>
      <c r="QER290" s="3"/>
      <c r="QES290" s="3"/>
      <c r="QET290" s="3"/>
      <c r="QEU290" s="3"/>
      <c r="QEV290" s="3"/>
      <c r="QEW290" s="3"/>
      <c r="QEX290" s="3"/>
      <c r="QEY290" s="3"/>
      <c r="QEZ290" s="3"/>
      <c r="QFA290" s="3"/>
      <c r="QFB290" s="3"/>
      <c r="QFC290" s="3"/>
      <c r="QFD290" s="3"/>
      <c r="QFE290" s="3"/>
      <c r="QFF290" s="3"/>
      <c r="QFG290" s="3"/>
      <c r="QFH290" s="3"/>
      <c r="QFI290" s="3"/>
      <c r="QFJ290" s="3"/>
      <c r="QFK290" s="3"/>
      <c r="QFL290" s="3"/>
      <c r="QFM290" s="3"/>
      <c r="QFN290" s="3"/>
      <c r="QFO290" s="3"/>
      <c r="QFP290" s="3"/>
      <c r="QFQ290" s="3"/>
      <c r="QFR290" s="3"/>
      <c r="QFS290" s="3"/>
      <c r="QFT290" s="3"/>
      <c r="QFU290" s="3"/>
      <c r="QFV290" s="3"/>
      <c r="QFW290" s="3"/>
      <c r="QFX290" s="3"/>
      <c r="QFY290" s="3"/>
      <c r="QFZ290" s="3"/>
      <c r="QGA290" s="3"/>
      <c r="QGB290" s="3"/>
      <c r="QGC290" s="3"/>
      <c r="QGD290" s="3"/>
      <c r="QGE290" s="3"/>
      <c r="QGF290" s="3"/>
      <c r="QGG290" s="3"/>
      <c r="QGH290" s="3"/>
      <c r="QGI290" s="3"/>
      <c r="QGJ290" s="3"/>
      <c r="QGK290" s="3"/>
      <c r="QGL290" s="3"/>
      <c r="QGM290" s="3"/>
      <c r="QGN290" s="3"/>
      <c r="QGO290" s="3"/>
      <c r="QGP290" s="3"/>
      <c r="QGQ290" s="3"/>
      <c r="QGR290" s="3"/>
      <c r="QGS290" s="3"/>
      <c r="QGT290" s="3"/>
      <c r="QGU290" s="3"/>
      <c r="QGV290" s="3"/>
      <c r="QGW290" s="3"/>
      <c r="QGX290" s="3"/>
      <c r="QGY290" s="3"/>
      <c r="QGZ290" s="3"/>
      <c r="QHA290" s="3"/>
      <c r="QHB290" s="3"/>
      <c r="QHC290" s="3"/>
      <c r="QHD290" s="3"/>
      <c r="QHE290" s="3"/>
      <c r="QHF290" s="3"/>
      <c r="QHG290" s="3"/>
      <c r="QHH290" s="3"/>
      <c r="QHI290" s="3"/>
      <c r="QHJ290" s="3"/>
      <c r="QHK290" s="3"/>
      <c r="QHL290" s="3"/>
      <c r="QHM290" s="3"/>
      <c r="QHN290" s="3"/>
      <c r="QHO290" s="3"/>
      <c r="QHP290" s="3"/>
      <c r="QHQ290" s="3"/>
      <c r="QHR290" s="3"/>
      <c r="QHS290" s="3"/>
      <c r="QHT290" s="3"/>
      <c r="QHU290" s="3"/>
      <c r="QHV290" s="3"/>
      <c r="QHW290" s="3"/>
      <c r="QHX290" s="3"/>
      <c r="QHY290" s="3"/>
      <c r="QHZ290" s="3"/>
      <c r="QIA290" s="3"/>
      <c r="QIB290" s="3"/>
      <c r="QIC290" s="3"/>
      <c r="QID290" s="3"/>
      <c r="QIE290" s="3"/>
      <c r="QIF290" s="3"/>
      <c r="QIG290" s="3"/>
      <c r="QIH290" s="3"/>
      <c r="QII290" s="3"/>
      <c r="QIJ290" s="3"/>
      <c r="QIK290" s="3"/>
      <c r="QIL290" s="3"/>
      <c r="QIM290" s="3"/>
      <c r="QIN290" s="3"/>
      <c r="QIO290" s="3"/>
      <c r="QIP290" s="3"/>
      <c r="QIQ290" s="3"/>
      <c r="QIR290" s="3"/>
      <c r="QIS290" s="3"/>
      <c r="QIT290" s="3"/>
      <c r="QIU290" s="3"/>
      <c r="QIV290" s="3"/>
      <c r="QIW290" s="3"/>
      <c r="QIX290" s="3"/>
      <c r="QIY290" s="3"/>
      <c r="QIZ290" s="3"/>
      <c r="QJA290" s="3"/>
      <c r="QJB290" s="3"/>
      <c r="QJC290" s="3"/>
      <c r="QJD290" s="3"/>
      <c r="QJE290" s="3"/>
      <c r="QJF290" s="3"/>
      <c r="QJG290" s="3"/>
      <c r="QJH290" s="3"/>
      <c r="QJI290" s="3"/>
      <c r="QJJ290" s="3"/>
      <c r="QJK290" s="3"/>
      <c r="QJL290" s="3"/>
      <c r="QJM290" s="3"/>
      <c r="QJN290" s="3"/>
      <c r="QJO290" s="3"/>
      <c r="QJP290" s="3"/>
      <c r="QJQ290" s="3"/>
      <c r="QJR290" s="3"/>
      <c r="QJS290" s="3"/>
      <c r="QJT290" s="3"/>
      <c r="QJU290" s="3"/>
      <c r="QJV290" s="3"/>
      <c r="QJW290" s="3"/>
      <c r="QJX290" s="3"/>
      <c r="QJY290" s="3"/>
      <c r="QJZ290" s="3"/>
      <c r="QKA290" s="3"/>
      <c r="QKB290" s="3"/>
      <c r="QKC290" s="3"/>
      <c r="QKD290" s="3"/>
      <c r="QKE290" s="3"/>
      <c r="QKF290" s="3"/>
      <c r="QKG290" s="3"/>
      <c r="QKH290" s="3"/>
      <c r="QKI290" s="3"/>
      <c r="QKJ290" s="3"/>
      <c r="QKK290" s="3"/>
      <c r="QKL290" s="3"/>
      <c r="QKM290" s="3"/>
      <c r="QKN290" s="3"/>
      <c r="QKO290" s="3"/>
      <c r="QKP290" s="3"/>
      <c r="QKQ290" s="3"/>
      <c r="QKR290" s="3"/>
      <c r="QKS290" s="3"/>
      <c r="QKT290" s="3"/>
      <c r="QKU290" s="3"/>
      <c r="QKV290" s="3"/>
      <c r="QKW290" s="3"/>
      <c r="QKX290" s="3"/>
      <c r="QKY290" s="3"/>
      <c r="QKZ290" s="3"/>
      <c r="QLA290" s="3"/>
      <c r="QLB290" s="3"/>
      <c r="QLC290" s="3"/>
      <c r="QLD290" s="3"/>
      <c r="QLE290" s="3"/>
      <c r="QLF290" s="3"/>
      <c r="QLG290" s="3"/>
      <c r="QLH290" s="3"/>
      <c r="QLI290" s="3"/>
      <c r="QLJ290" s="3"/>
      <c r="QLK290" s="3"/>
      <c r="QLL290" s="3"/>
      <c r="QLM290" s="3"/>
      <c r="QLN290" s="3"/>
      <c r="QLO290" s="3"/>
      <c r="QLP290" s="3"/>
      <c r="QLQ290" s="3"/>
      <c r="QLR290" s="3"/>
      <c r="QLS290" s="3"/>
      <c r="QLT290" s="3"/>
      <c r="QLU290" s="3"/>
      <c r="QLV290" s="3"/>
      <c r="QLW290" s="3"/>
      <c r="QLX290" s="3"/>
      <c r="QLY290" s="3"/>
      <c r="QLZ290" s="3"/>
      <c r="QMA290" s="3"/>
      <c r="QMB290" s="3"/>
      <c r="QMC290" s="3"/>
      <c r="QMD290" s="3"/>
      <c r="QME290" s="3"/>
      <c r="QMF290" s="3"/>
      <c r="QMG290" s="3"/>
      <c r="QMH290" s="3"/>
      <c r="QMI290" s="3"/>
      <c r="QMJ290" s="3"/>
      <c r="QMK290" s="3"/>
      <c r="QML290" s="3"/>
      <c r="QMM290" s="3"/>
      <c r="QMN290" s="3"/>
      <c r="QMO290" s="3"/>
      <c r="QMP290" s="3"/>
      <c r="QMQ290" s="3"/>
      <c r="QMR290" s="3"/>
      <c r="QMS290" s="3"/>
      <c r="QMT290" s="3"/>
      <c r="QMU290" s="3"/>
      <c r="QMV290" s="3"/>
      <c r="QMW290" s="3"/>
      <c r="QMX290" s="3"/>
      <c r="QMY290" s="3"/>
      <c r="QMZ290" s="3"/>
      <c r="QNA290" s="3"/>
      <c r="QNB290" s="3"/>
      <c r="QNC290" s="3"/>
      <c r="QND290" s="3"/>
      <c r="QNE290" s="3"/>
      <c r="QNF290" s="3"/>
      <c r="QNG290" s="3"/>
      <c r="QNH290" s="3"/>
      <c r="QNI290" s="3"/>
      <c r="QNJ290" s="3"/>
      <c r="QNK290" s="3"/>
      <c r="QNL290" s="3"/>
      <c r="QNM290" s="3"/>
      <c r="QNN290" s="3"/>
      <c r="QNO290" s="3"/>
      <c r="QNP290" s="3"/>
      <c r="QNQ290" s="3"/>
      <c r="QNR290" s="3"/>
      <c r="QNS290" s="3"/>
      <c r="QNT290" s="3"/>
      <c r="QNU290" s="3"/>
      <c r="QNV290" s="3"/>
      <c r="QNW290" s="3"/>
      <c r="QNX290" s="3"/>
      <c r="QNY290" s="3"/>
      <c r="QNZ290" s="3"/>
      <c r="QOA290" s="3"/>
      <c r="QOB290" s="3"/>
      <c r="QOC290" s="3"/>
      <c r="QOD290" s="3"/>
      <c r="QOE290" s="3"/>
      <c r="QOF290" s="3"/>
      <c r="QOG290" s="3"/>
      <c r="QOH290" s="3"/>
      <c r="QOI290" s="3"/>
      <c r="QOJ290" s="3"/>
      <c r="QOK290" s="3"/>
      <c r="QOL290" s="3"/>
      <c r="QOM290" s="3"/>
      <c r="QON290" s="3"/>
      <c r="QOO290" s="3"/>
      <c r="QOP290" s="3"/>
      <c r="QOQ290" s="3"/>
      <c r="QOR290" s="3"/>
      <c r="QOS290" s="3"/>
      <c r="QOT290" s="3"/>
      <c r="QOU290" s="3"/>
      <c r="QOV290" s="3"/>
      <c r="QOW290" s="3"/>
      <c r="QOX290" s="3"/>
      <c r="QOY290" s="3"/>
      <c r="QOZ290" s="3"/>
      <c r="QPA290" s="3"/>
      <c r="QPB290" s="3"/>
      <c r="QPC290" s="3"/>
      <c r="QPD290" s="3"/>
      <c r="QPE290" s="3"/>
      <c r="QPF290" s="3"/>
      <c r="QPG290" s="3"/>
      <c r="QPH290" s="3"/>
      <c r="QPI290" s="3"/>
      <c r="QPJ290" s="3"/>
      <c r="QPK290" s="3"/>
      <c r="QPL290" s="3"/>
      <c r="QPM290" s="3"/>
      <c r="QPN290" s="3"/>
      <c r="QPO290" s="3"/>
      <c r="QPP290" s="3"/>
      <c r="QPQ290" s="3"/>
      <c r="QPR290" s="3"/>
      <c r="QPS290" s="3"/>
      <c r="QPT290" s="3"/>
      <c r="QPU290" s="3"/>
      <c r="QPV290" s="3"/>
      <c r="QPW290" s="3"/>
      <c r="QPX290" s="3"/>
      <c r="QPY290" s="3"/>
      <c r="QPZ290" s="3"/>
      <c r="QQA290" s="3"/>
      <c r="QQB290" s="3"/>
      <c r="QQC290" s="3"/>
      <c r="QQD290" s="3"/>
      <c r="QQE290" s="3"/>
      <c r="QQF290" s="3"/>
      <c r="QQG290" s="3"/>
      <c r="QQH290" s="3"/>
      <c r="QQI290" s="3"/>
      <c r="QQJ290" s="3"/>
      <c r="QQK290" s="3"/>
      <c r="QQL290" s="3"/>
      <c r="QQM290" s="3"/>
      <c r="QQN290" s="3"/>
      <c r="QQO290" s="3"/>
      <c r="QQP290" s="3"/>
      <c r="QQQ290" s="3"/>
      <c r="QQR290" s="3"/>
      <c r="QQS290" s="3"/>
      <c r="QQT290" s="3"/>
      <c r="QQU290" s="3"/>
      <c r="QQV290" s="3"/>
      <c r="QQW290" s="3"/>
      <c r="QQX290" s="3"/>
      <c r="QQY290" s="3"/>
      <c r="QQZ290" s="3"/>
      <c r="QRA290" s="3"/>
      <c r="QRB290" s="3"/>
      <c r="QRC290" s="3"/>
      <c r="QRD290" s="3"/>
      <c r="QRE290" s="3"/>
      <c r="QRF290" s="3"/>
      <c r="QRG290" s="3"/>
      <c r="QRH290" s="3"/>
      <c r="QRI290" s="3"/>
      <c r="QRJ290" s="3"/>
      <c r="QRK290" s="3"/>
      <c r="QRL290" s="3"/>
      <c r="QRM290" s="3"/>
      <c r="QRN290" s="3"/>
      <c r="QRO290" s="3"/>
      <c r="QRP290" s="3"/>
      <c r="QRQ290" s="3"/>
      <c r="QRR290" s="3"/>
      <c r="QRS290" s="3"/>
      <c r="QRT290" s="3"/>
      <c r="QRU290" s="3"/>
      <c r="QRV290" s="3"/>
      <c r="QRW290" s="3"/>
      <c r="QRX290" s="3"/>
      <c r="QRY290" s="3"/>
      <c r="QRZ290" s="3"/>
      <c r="QSA290" s="3"/>
      <c r="QSB290" s="3"/>
      <c r="QSC290" s="3"/>
      <c r="QSD290" s="3"/>
      <c r="QSE290" s="3"/>
      <c r="QSF290" s="3"/>
      <c r="QSG290" s="3"/>
      <c r="QSH290" s="3"/>
      <c r="QSI290" s="3"/>
      <c r="QSJ290" s="3"/>
      <c r="QSK290" s="3"/>
      <c r="QSL290" s="3"/>
      <c r="QSM290" s="3"/>
      <c r="QSN290" s="3"/>
      <c r="QSO290" s="3"/>
      <c r="QSP290" s="3"/>
      <c r="QSQ290" s="3"/>
      <c r="QSR290" s="3"/>
      <c r="QSS290" s="3"/>
      <c r="QST290" s="3"/>
      <c r="QSU290" s="3"/>
      <c r="QSV290" s="3"/>
      <c r="QSW290" s="3"/>
      <c r="QSX290" s="3"/>
      <c r="QSY290" s="3"/>
      <c r="QSZ290" s="3"/>
      <c r="QTA290" s="3"/>
      <c r="QTB290" s="3"/>
      <c r="QTC290" s="3"/>
      <c r="QTD290" s="3"/>
      <c r="QTE290" s="3"/>
      <c r="QTF290" s="3"/>
      <c r="QTG290" s="3"/>
      <c r="QTH290" s="3"/>
      <c r="QTI290" s="3"/>
      <c r="QTJ290" s="3"/>
      <c r="QTK290" s="3"/>
      <c r="QTL290" s="3"/>
      <c r="QTM290" s="3"/>
      <c r="QTN290" s="3"/>
      <c r="QTO290" s="3"/>
      <c r="QTP290" s="3"/>
      <c r="QTQ290" s="3"/>
      <c r="QTR290" s="3"/>
      <c r="QTS290" s="3"/>
      <c r="QTT290" s="3"/>
      <c r="QTU290" s="3"/>
      <c r="QTV290" s="3"/>
      <c r="QTW290" s="3"/>
      <c r="QTX290" s="3"/>
      <c r="QTY290" s="3"/>
      <c r="QTZ290" s="3"/>
      <c r="QUA290" s="3"/>
      <c r="QUB290" s="3"/>
      <c r="QUC290" s="3"/>
      <c r="QUD290" s="3"/>
      <c r="QUE290" s="3"/>
      <c r="QUF290" s="3"/>
      <c r="QUG290" s="3"/>
      <c r="QUH290" s="3"/>
      <c r="QUI290" s="3"/>
      <c r="QUJ290" s="3"/>
      <c r="QUK290" s="3"/>
      <c r="QUL290" s="3"/>
      <c r="QUM290" s="3"/>
      <c r="QUN290" s="3"/>
      <c r="QUO290" s="3"/>
      <c r="QUP290" s="3"/>
      <c r="QUQ290" s="3"/>
      <c r="QUR290" s="3"/>
      <c r="QUS290" s="3"/>
      <c r="QUT290" s="3"/>
      <c r="QUU290" s="3"/>
      <c r="QUV290" s="3"/>
      <c r="QUW290" s="3"/>
      <c r="QUX290" s="3"/>
      <c r="QUY290" s="3"/>
      <c r="QUZ290" s="3"/>
      <c r="QVA290" s="3"/>
      <c r="QVB290" s="3"/>
      <c r="QVC290" s="3"/>
      <c r="QVD290" s="3"/>
      <c r="QVE290" s="3"/>
      <c r="QVF290" s="3"/>
      <c r="QVG290" s="3"/>
      <c r="QVH290" s="3"/>
      <c r="QVI290" s="3"/>
      <c r="QVJ290" s="3"/>
      <c r="QVK290" s="3"/>
      <c r="QVL290" s="3"/>
      <c r="QVM290" s="3"/>
      <c r="QVN290" s="3"/>
      <c r="QVO290" s="3"/>
      <c r="QVP290" s="3"/>
      <c r="QVQ290" s="3"/>
      <c r="QVR290" s="3"/>
      <c r="QVS290" s="3"/>
      <c r="QVT290" s="3"/>
      <c r="QVU290" s="3"/>
      <c r="QVV290" s="3"/>
      <c r="QVW290" s="3"/>
      <c r="QVX290" s="3"/>
      <c r="QVY290" s="3"/>
      <c r="QVZ290" s="3"/>
      <c r="QWA290" s="3"/>
      <c r="QWB290" s="3"/>
      <c r="QWC290" s="3"/>
      <c r="QWD290" s="3"/>
      <c r="QWE290" s="3"/>
      <c r="QWF290" s="3"/>
      <c r="QWG290" s="3"/>
      <c r="QWH290" s="3"/>
      <c r="QWI290" s="3"/>
      <c r="QWJ290" s="3"/>
      <c r="QWK290" s="3"/>
      <c r="QWL290" s="3"/>
      <c r="QWM290" s="3"/>
      <c r="QWN290" s="3"/>
      <c r="QWO290" s="3"/>
      <c r="QWP290" s="3"/>
      <c r="QWQ290" s="3"/>
      <c r="QWR290" s="3"/>
      <c r="QWS290" s="3"/>
      <c r="QWT290" s="3"/>
      <c r="QWU290" s="3"/>
      <c r="QWV290" s="3"/>
      <c r="QWW290" s="3"/>
      <c r="QWX290" s="3"/>
      <c r="QWY290" s="3"/>
      <c r="QWZ290" s="3"/>
      <c r="QXA290" s="3"/>
      <c r="QXB290" s="3"/>
      <c r="QXC290" s="3"/>
      <c r="QXD290" s="3"/>
      <c r="QXE290" s="3"/>
      <c r="QXF290" s="3"/>
      <c r="QXG290" s="3"/>
      <c r="QXH290" s="3"/>
      <c r="QXI290" s="3"/>
      <c r="QXJ290" s="3"/>
      <c r="QXK290" s="3"/>
      <c r="QXL290" s="3"/>
      <c r="QXM290" s="3"/>
      <c r="QXN290" s="3"/>
      <c r="QXO290" s="3"/>
      <c r="QXP290" s="3"/>
      <c r="QXQ290" s="3"/>
      <c r="QXR290" s="3"/>
      <c r="QXS290" s="3"/>
      <c r="QXT290" s="3"/>
      <c r="QXU290" s="3"/>
      <c r="QXV290" s="3"/>
      <c r="QXW290" s="3"/>
      <c r="QXX290" s="3"/>
      <c r="QXY290" s="3"/>
      <c r="QXZ290" s="3"/>
      <c r="QYA290" s="3"/>
      <c r="QYB290" s="3"/>
      <c r="QYC290" s="3"/>
      <c r="QYD290" s="3"/>
      <c r="QYE290" s="3"/>
      <c r="QYF290" s="3"/>
      <c r="QYG290" s="3"/>
      <c r="QYH290" s="3"/>
      <c r="QYI290" s="3"/>
      <c r="QYJ290" s="3"/>
      <c r="QYK290" s="3"/>
      <c r="QYL290" s="3"/>
      <c r="QYM290" s="3"/>
      <c r="QYN290" s="3"/>
      <c r="QYO290" s="3"/>
      <c r="QYP290" s="3"/>
      <c r="QYQ290" s="3"/>
      <c r="QYR290" s="3"/>
      <c r="QYS290" s="3"/>
      <c r="QYT290" s="3"/>
      <c r="QYU290" s="3"/>
      <c r="QYV290" s="3"/>
      <c r="QYW290" s="3"/>
      <c r="QYX290" s="3"/>
      <c r="QYY290" s="3"/>
      <c r="QYZ290" s="3"/>
      <c r="QZA290" s="3"/>
      <c r="QZB290" s="3"/>
      <c r="QZC290" s="3"/>
      <c r="QZD290" s="3"/>
      <c r="QZE290" s="3"/>
      <c r="QZF290" s="3"/>
      <c r="QZG290" s="3"/>
      <c r="QZH290" s="3"/>
      <c r="QZI290" s="3"/>
      <c r="QZJ290" s="3"/>
      <c r="QZK290" s="3"/>
      <c r="QZL290" s="3"/>
      <c r="QZM290" s="3"/>
      <c r="QZN290" s="3"/>
      <c r="QZO290" s="3"/>
      <c r="QZP290" s="3"/>
      <c r="QZQ290" s="3"/>
      <c r="QZR290" s="3"/>
      <c r="QZS290" s="3"/>
      <c r="QZT290" s="3"/>
      <c r="QZU290" s="3"/>
      <c r="QZV290" s="3"/>
      <c r="QZW290" s="3"/>
      <c r="QZX290" s="3"/>
      <c r="QZY290" s="3"/>
      <c r="QZZ290" s="3"/>
      <c r="RAA290" s="3"/>
      <c r="RAB290" s="3"/>
      <c r="RAC290" s="3"/>
      <c r="RAD290" s="3"/>
      <c r="RAE290" s="3"/>
      <c r="RAF290" s="3"/>
      <c r="RAG290" s="3"/>
      <c r="RAH290" s="3"/>
      <c r="RAI290" s="3"/>
      <c r="RAJ290" s="3"/>
      <c r="RAK290" s="3"/>
      <c r="RAL290" s="3"/>
      <c r="RAM290" s="3"/>
      <c r="RAN290" s="3"/>
      <c r="RAO290" s="3"/>
      <c r="RAP290" s="3"/>
      <c r="RAQ290" s="3"/>
      <c r="RAR290" s="3"/>
      <c r="RAS290" s="3"/>
      <c r="RAT290" s="3"/>
      <c r="RAU290" s="3"/>
      <c r="RAV290" s="3"/>
      <c r="RAW290" s="3"/>
      <c r="RAX290" s="3"/>
      <c r="RAY290" s="3"/>
      <c r="RAZ290" s="3"/>
      <c r="RBA290" s="3"/>
      <c r="RBB290" s="3"/>
      <c r="RBC290" s="3"/>
      <c r="RBD290" s="3"/>
      <c r="RBE290" s="3"/>
      <c r="RBF290" s="3"/>
      <c r="RBG290" s="3"/>
      <c r="RBH290" s="3"/>
      <c r="RBI290" s="3"/>
      <c r="RBJ290" s="3"/>
      <c r="RBK290" s="3"/>
      <c r="RBL290" s="3"/>
      <c r="RBM290" s="3"/>
      <c r="RBN290" s="3"/>
      <c r="RBO290" s="3"/>
      <c r="RBP290" s="3"/>
      <c r="RBQ290" s="3"/>
      <c r="RBR290" s="3"/>
      <c r="RBS290" s="3"/>
      <c r="RBT290" s="3"/>
      <c r="RBU290" s="3"/>
      <c r="RBV290" s="3"/>
      <c r="RBW290" s="3"/>
      <c r="RBX290" s="3"/>
      <c r="RBY290" s="3"/>
      <c r="RBZ290" s="3"/>
      <c r="RCA290" s="3"/>
      <c r="RCB290" s="3"/>
      <c r="RCC290" s="3"/>
      <c r="RCD290" s="3"/>
      <c r="RCE290" s="3"/>
      <c r="RCF290" s="3"/>
      <c r="RCG290" s="3"/>
      <c r="RCH290" s="3"/>
      <c r="RCI290" s="3"/>
      <c r="RCJ290" s="3"/>
      <c r="RCK290" s="3"/>
      <c r="RCL290" s="3"/>
      <c r="RCM290" s="3"/>
      <c r="RCN290" s="3"/>
      <c r="RCO290" s="3"/>
      <c r="RCP290" s="3"/>
      <c r="RCQ290" s="3"/>
      <c r="RCR290" s="3"/>
      <c r="RCS290" s="3"/>
      <c r="RCT290" s="3"/>
      <c r="RCU290" s="3"/>
      <c r="RCV290" s="3"/>
      <c r="RCW290" s="3"/>
      <c r="RCX290" s="3"/>
      <c r="RCY290" s="3"/>
      <c r="RCZ290" s="3"/>
      <c r="RDA290" s="3"/>
      <c r="RDB290" s="3"/>
      <c r="RDC290" s="3"/>
      <c r="RDD290" s="3"/>
      <c r="RDE290" s="3"/>
      <c r="RDF290" s="3"/>
      <c r="RDG290" s="3"/>
      <c r="RDH290" s="3"/>
      <c r="RDI290" s="3"/>
      <c r="RDJ290" s="3"/>
      <c r="RDK290" s="3"/>
      <c r="RDL290" s="3"/>
      <c r="RDM290" s="3"/>
      <c r="RDN290" s="3"/>
      <c r="RDO290" s="3"/>
      <c r="RDP290" s="3"/>
      <c r="RDQ290" s="3"/>
      <c r="RDR290" s="3"/>
      <c r="RDS290" s="3"/>
      <c r="RDT290" s="3"/>
      <c r="RDU290" s="3"/>
      <c r="RDV290" s="3"/>
      <c r="RDW290" s="3"/>
      <c r="RDX290" s="3"/>
      <c r="RDY290" s="3"/>
      <c r="RDZ290" s="3"/>
      <c r="REA290" s="3"/>
      <c r="REB290" s="3"/>
      <c r="REC290" s="3"/>
      <c r="RED290" s="3"/>
      <c r="REE290" s="3"/>
      <c r="REF290" s="3"/>
      <c r="REG290" s="3"/>
      <c r="REH290" s="3"/>
      <c r="REI290" s="3"/>
      <c r="REJ290" s="3"/>
      <c r="REK290" s="3"/>
      <c r="REL290" s="3"/>
      <c r="REM290" s="3"/>
      <c r="REN290" s="3"/>
      <c r="REO290" s="3"/>
      <c r="REP290" s="3"/>
      <c r="REQ290" s="3"/>
      <c r="RER290" s="3"/>
      <c r="RES290" s="3"/>
      <c r="RET290" s="3"/>
      <c r="REU290" s="3"/>
      <c r="REV290" s="3"/>
      <c r="REW290" s="3"/>
      <c r="REX290" s="3"/>
      <c r="REY290" s="3"/>
      <c r="REZ290" s="3"/>
      <c r="RFA290" s="3"/>
      <c r="RFB290" s="3"/>
      <c r="RFC290" s="3"/>
      <c r="RFD290" s="3"/>
      <c r="RFE290" s="3"/>
      <c r="RFF290" s="3"/>
      <c r="RFG290" s="3"/>
      <c r="RFH290" s="3"/>
      <c r="RFI290" s="3"/>
      <c r="RFJ290" s="3"/>
      <c r="RFK290" s="3"/>
      <c r="RFL290" s="3"/>
      <c r="RFM290" s="3"/>
      <c r="RFN290" s="3"/>
      <c r="RFO290" s="3"/>
      <c r="RFP290" s="3"/>
      <c r="RFQ290" s="3"/>
      <c r="RFR290" s="3"/>
      <c r="RFS290" s="3"/>
      <c r="RFT290" s="3"/>
      <c r="RFU290" s="3"/>
      <c r="RFV290" s="3"/>
      <c r="RFW290" s="3"/>
      <c r="RFX290" s="3"/>
      <c r="RFY290" s="3"/>
      <c r="RFZ290" s="3"/>
      <c r="RGA290" s="3"/>
      <c r="RGB290" s="3"/>
      <c r="RGC290" s="3"/>
      <c r="RGD290" s="3"/>
      <c r="RGE290" s="3"/>
      <c r="RGF290" s="3"/>
      <c r="RGG290" s="3"/>
      <c r="RGH290" s="3"/>
      <c r="RGI290" s="3"/>
      <c r="RGJ290" s="3"/>
      <c r="RGK290" s="3"/>
      <c r="RGL290" s="3"/>
      <c r="RGM290" s="3"/>
      <c r="RGN290" s="3"/>
      <c r="RGO290" s="3"/>
      <c r="RGP290" s="3"/>
      <c r="RGQ290" s="3"/>
      <c r="RGR290" s="3"/>
      <c r="RGS290" s="3"/>
      <c r="RGT290" s="3"/>
      <c r="RGU290" s="3"/>
      <c r="RGV290" s="3"/>
      <c r="RGW290" s="3"/>
      <c r="RGX290" s="3"/>
      <c r="RGY290" s="3"/>
      <c r="RGZ290" s="3"/>
      <c r="RHA290" s="3"/>
      <c r="RHB290" s="3"/>
      <c r="RHC290" s="3"/>
      <c r="RHD290" s="3"/>
      <c r="RHE290" s="3"/>
      <c r="RHF290" s="3"/>
      <c r="RHG290" s="3"/>
      <c r="RHH290" s="3"/>
      <c r="RHI290" s="3"/>
      <c r="RHJ290" s="3"/>
      <c r="RHK290" s="3"/>
      <c r="RHL290" s="3"/>
      <c r="RHM290" s="3"/>
      <c r="RHN290" s="3"/>
      <c r="RHO290" s="3"/>
      <c r="RHP290" s="3"/>
      <c r="RHQ290" s="3"/>
      <c r="RHR290" s="3"/>
      <c r="RHS290" s="3"/>
      <c r="RHT290" s="3"/>
      <c r="RHU290" s="3"/>
      <c r="RHV290" s="3"/>
      <c r="RHW290" s="3"/>
      <c r="RHX290" s="3"/>
      <c r="RHY290" s="3"/>
      <c r="RHZ290" s="3"/>
      <c r="RIA290" s="3"/>
      <c r="RIB290" s="3"/>
      <c r="RIC290" s="3"/>
      <c r="RID290" s="3"/>
      <c r="RIE290" s="3"/>
      <c r="RIF290" s="3"/>
      <c r="RIG290" s="3"/>
      <c r="RIH290" s="3"/>
      <c r="RII290" s="3"/>
      <c r="RIJ290" s="3"/>
      <c r="RIK290" s="3"/>
      <c r="RIL290" s="3"/>
      <c r="RIM290" s="3"/>
      <c r="RIN290" s="3"/>
      <c r="RIO290" s="3"/>
      <c r="RIP290" s="3"/>
      <c r="RIQ290" s="3"/>
      <c r="RIR290" s="3"/>
      <c r="RIS290" s="3"/>
      <c r="RIT290" s="3"/>
      <c r="RIU290" s="3"/>
      <c r="RIV290" s="3"/>
      <c r="RIW290" s="3"/>
      <c r="RIX290" s="3"/>
      <c r="RIY290" s="3"/>
      <c r="RIZ290" s="3"/>
      <c r="RJA290" s="3"/>
      <c r="RJB290" s="3"/>
      <c r="RJC290" s="3"/>
      <c r="RJD290" s="3"/>
      <c r="RJE290" s="3"/>
      <c r="RJF290" s="3"/>
      <c r="RJG290" s="3"/>
      <c r="RJH290" s="3"/>
      <c r="RJI290" s="3"/>
      <c r="RJJ290" s="3"/>
      <c r="RJK290" s="3"/>
      <c r="RJL290" s="3"/>
      <c r="RJM290" s="3"/>
      <c r="RJN290" s="3"/>
      <c r="RJO290" s="3"/>
      <c r="RJP290" s="3"/>
      <c r="RJQ290" s="3"/>
      <c r="RJR290" s="3"/>
      <c r="RJS290" s="3"/>
      <c r="RJT290" s="3"/>
      <c r="RJU290" s="3"/>
      <c r="RJV290" s="3"/>
      <c r="RJW290" s="3"/>
      <c r="RJX290" s="3"/>
      <c r="RJY290" s="3"/>
      <c r="RJZ290" s="3"/>
      <c r="RKA290" s="3"/>
      <c r="RKB290" s="3"/>
      <c r="RKC290" s="3"/>
      <c r="RKD290" s="3"/>
      <c r="RKE290" s="3"/>
      <c r="RKF290" s="3"/>
      <c r="RKG290" s="3"/>
      <c r="RKH290" s="3"/>
      <c r="RKI290" s="3"/>
      <c r="RKJ290" s="3"/>
      <c r="RKK290" s="3"/>
      <c r="RKL290" s="3"/>
      <c r="RKM290" s="3"/>
      <c r="RKN290" s="3"/>
      <c r="RKO290" s="3"/>
      <c r="RKP290" s="3"/>
      <c r="RKQ290" s="3"/>
      <c r="RKR290" s="3"/>
      <c r="RKS290" s="3"/>
      <c r="RKT290" s="3"/>
      <c r="RKU290" s="3"/>
      <c r="RKV290" s="3"/>
      <c r="RKW290" s="3"/>
      <c r="RKX290" s="3"/>
      <c r="RKY290" s="3"/>
      <c r="RKZ290" s="3"/>
      <c r="RLA290" s="3"/>
      <c r="RLB290" s="3"/>
      <c r="RLC290" s="3"/>
      <c r="RLD290" s="3"/>
      <c r="RLE290" s="3"/>
      <c r="RLF290" s="3"/>
      <c r="RLG290" s="3"/>
      <c r="RLH290" s="3"/>
      <c r="RLI290" s="3"/>
      <c r="RLJ290" s="3"/>
      <c r="RLK290" s="3"/>
      <c r="RLL290" s="3"/>
      <c r="RLM290" s="3"/>
      <c r="RLN290" s="3"/>
      <c r="RLO290" s="3"/>
      <c r="RLP290" s="3"/>
      <c r="RLQ290" s="3"/>
      <c r="RLR290" s="3"/>
      <c r="RLS290" s="3"/>
      <c r="RLT290" s="3"/>
      <c r="RLU290" s="3"/>
      <c r="RLV290" s="3"/>
      <c r="RLW290" s="3"/>
      <c r="RLX290" s="3"/>
      <c r="RLY290" s="3"/>
      <c r="RLZ290" s="3"/>
      <c r="RMA290" s="3"/>
      <c r="RMB290" s="3"/>
      <c r="RMC290" s="3"/>
      <c r="RMD290" s="3"/>
      <c r="RME290" s="3"/>
      <c r="RMF290" s="3"/>
      <c r="RMG290" s="3"/>
      <c r="RMH290" s="3"/>
      <c r="RMI290" s="3"/>
      <c r="RMJ290" s="3"/>
      <c r="RMK290" s="3"/>
      <c r="RML290" s="3"/>
      <c r="RMM290" s="3"/>
      <c r="RMN290" s="3"/>
      <c r="RMO290" s="3"/>
      <c r="RMP290" s="3"/>
      <c r="RMQ290" s="3"/>
      <c r="RMR290" s="3"/>
      <c r="RMS290" s="3"/>
      <c r="RMT290" s="3"/>
      <c r="RMU290" s="3"/>
      <c r="RMV290" s="3"/>
      <c r="RMW290" s="3"/>
      <c r="RMX290" s="3"/>
      <c r="RMY290" s="3"/>
      <c r="RMZ290" s="3"/>
      <c r="RNA290" s="3"/>
      <c r="RNB290" s="3"/>
      <c r="RNC290" s="3"/>
      <c r="RND290" s="3"/>
      <c r="RNE290" s="3"/>
      <c r="RNF290" s="3"/>
      <c r="RNG290" s="3"/>
      <c r="RNH290" s="3"/>
      <c r="RNI290" s="3"/>
      <c r="RNJ290" s="3"/>
      <c r="RNK290" s="3"/>
      <c r="RNL290" s="3"/>
      <c r="RNM290" s="3"/>
      <c r="RNN290" s="3"/>
      <c r="RNO290" s="3"/>
      <c r="RNP290" s="3"/>
      <c r="RNQ290" s="3"/>
      <c r="RNR290" s="3"/>
      <c r="RNS290" s="3"/>
      <c r="RNT290" s="3"/>
      <c r="RNU290" s="3"/>
      <c r="RNV290" s="3"/>
      <c r="RNW290" s="3"/>
      <c r="RNX290" s="3"/>
      <c r="RNY290" s="3"/>
      <c r="RNZ290" s="3"/>
      <c r="ROA290" s="3"/>
      <c r="ROB290" s="3"/>
      <c r="ROC290" s="3"/>
      <c r="ROD290" s="3"/>
      <c r="ROE290" s="3"/>
      <c r="ROF290" s="3"/>
      <c r="ROG290" s="3"/>
      <c r="ROH290" s="3"/>
      <c r="ROI290" s="3"/>
      <c r="ROJ290" s="3"/>
      <c r="ROK290" s="3"/>
      <c r="ROL290" s="3"/>
      <c r="ROM290" s="3"/>
      <c r="RON290" s="3"/>
      <c r="ROO290" s="3"/>
      <c r="ROP290" s="3"/>
      <c r="ROQ290" s="3"/>
      <c r="ROR290" s="3"/>
      <c r="ROS290" s="3"/>
      <c r="ROT290" s="3"/>
      <c r="ROU290" s="3"/>
      <c r="ROV290" s="3"/>
      <c r="ROW290" s="3"/>
      <c r="ROX290" s="3"/>
      <c r="ROY290" s="3"/>
      <c r="ROZ290" s="3"/>
      <c r="RPA290" s="3"/>
      <c r="RPB290" s="3"/>
      <c r="RPC290" s="3"/>
      <c r="RPD290" s="3"/>
      <c r="RPE290" s="3"/>
      <c r="RPF290" s="3"/>
      <c r="RPG290" s="3"/>
      <c r="RPH290" s="3"/>
      <c r="RPI290" s="3"/>
      <c r="RPJ290" s="3"/>
      <c r="RPK290" s="3"/>
      <c r="RPL290" s="3"/>
      <c r="RPM290" s="3"/>
      <c r="RPN290" s="3"/>
      <c r="RPO290" s="3"/>
      <c r="RPP290" s="3"/>
      <c r="RPQ290" s="3"/>
      <c r="RPR290" s="3"/>
      <c r="RPS290" s="3"/>
      <c r="RPT290" s="3"/>
      <c r="RPU290" s="3"/>
      <c r="RPV290" s="3"/>
      <c r="RPW290" s="3"/>
      <c r="RPX290" s="3"/>
      <c r="RPY290" s="3"/>
      <c r="RPZ290" s="3"/>
      <c r="RQA290" s="3"/>
      <c r="RQB290" s="3"/>
      <c r="RQC290" s="3"/>
      <c r="RQD290" s="3"/>
      <c r="RQE290" s="3"/>
      <c r="RQF290" s="3"/>
      <c r="RQG290" s="3"/>
      <c r="RQH290" s="3"/>
      <c r="RQI290" s="3"/>
      <c r="RQJ290" s="3"/>
      <c r="RQK290" s="3"/>
      <c r="RQL290" s="3"/>
      <c r="RQM290" s="3"/>
      <c r="RQN290" s="3"/>
      <c r="RQO290" s="3"/>
      <c r="RQP290" s="3"/>
      <c r="RQQ290" s="3"/>
      <c r="RQR290" s="3"/>
      <c r="RQS290" s="3"/>
      <c r="RQT290" s="3"/>
      <c r="RQU290" s="3"/>
      <c r="RQV290" s="3"/>
      <c r="RQW290" s="3"/>
      <c r="RQX290" s="3"/>
      <c r="RQY290" s="3"/>
      <c r="RQZ290" s="3"/>
      <c r="RRA290" s="3"/>
      <c r="RRB290" s="3"/>
      <c r="RRC290" s="3"/>
      <c r="RRD290" s="3"/>
      <c r="RRE290" s="3"/>
      <c r="RRF290" s="3"/>
      <c r="RRG290" s="3"/>
      <c r="RRH290" s="3"/>
      <c r="RRI290" s="3"/>
      <c r="RRJ290" s="3"/>
      <c r="RRK290" s="3"/>
      <c r="RRL290" s="3"/>
      <c r="RRM290" s="3"/>
      <c r="RRN290" s="3"/>
      <c r="RRO290" s="3"/>
      <c r="RRP290" s="3"/>
      <c r="RRQ290" s="3"/>
      <c r="RRR290" s="3"/>
      <c r="RRS290" s="3"/>
      <c r="RRT290" s="3"/>
      <c r="RRU290" s="3"/>
      <c r="RRV290" s="3"/>
      <c r="RRW290" s="3"/>
      <c r="RRX290" s="3"/>
      <c r="RRY290" s="3"/>
      <c r="RRZ290" s="3"/>
      <c r="RSA290" s="3"/>
      <c r="RSB290" s="3"/>
      <c r="RSC290" s="3"/>
      <c r="RSD290" s="3"/>
      <c r="RSE290" s="3"/>
      <c r="RSF290" s="3"/>
      <c r="RSG290" s="3"/>
      <c r="RSH290" s="3"/>
      <c r="RSI290" s="3"/>
      <c r="RSJ290" s="3"/>
      <c r="RSK290" s="3"/>
      <c r="RSL290" s="3"/>
      <c r="RSM290" s="3"/>
      <c r="RSN290" s="3"/>
      <c r="RSO290" s="3"/>
      <c r="RSP290" s="3"/>
      <c r="RSQ290" s="3"/>
      <c r="RSR290" s="3"/>
      <c r="RSS290" s="3"/>
      <c r="RST290" s="3"/>
      <c r="RSU290" s="3"/>
      <c r="RSV290" s="3"/>
      <c r="RSW290" s="3"/>
      <c r="RSX290" s="3"/>
      <c r="RSY290" s="3"/>
      <c r="RSZ290" s="3"/>
      <c r="RTA290" s="3"/>
      <c r="RTB290" s="3"/>
      <c r="RTC290" s="3"/>
      <c r="RTD290" s="3"/>
      <c r="RTE290" s="3"/>
      <c r="RTF290" s="3"/>
      <c r="RTG290" s="3"/>
      <c r="RTH290" s="3"/>
      <c r="RTI290" s="3"/>
      <c r="RTJ290" s="3"/>
      <c r="RTK290" s="3"/>
      <c r="RTL290" s="3"/>
      <c r="RTM290" s="3"/>
      <c r="RTN290" s="3"/>
      <c r="RTO290" s="3"/>
      <c r="RTP290" s="3"/>
      <c r="RTQ290" s="3"/>
      <c r="RTR290" s="3"/>
      <c r="RTS290" s="3"/>
      <c r="RTT290" s="3"/>
      <c r="RTU290" s="3"/>
      <c r="RTV290" s="3"/>
      <c r="RTW290" s="3"/>
      <c r="RTX290" s="3"/>
      <c r="RTY290" s="3"/>
      <c r="RTZ290" s="3"/>
      <c r="RUA290" s="3"/>
      <c r="RUB290" s="3"/>
      <c r="RUC290" s="3"/>
      <c r="RUD290" s="3"/>
      <c r="RUE290" s="3"/>
      <c r="RUF290" s="3"/>
      <c r="RUG290" s="3"/>
      <c r="RUH290" s="3"/>
      <c r="RUI290" s="3"/>
      <c r="RUJ290" s="3"/>
      <c r="RUK290" s="3"/>
      <c r="RUL290" s="3"/>
      <c r="RUM290" s="3"/>
      <c r="RUN290" s="3"/>
      <c r="RUO290" s="3"/>
      <c r="RUP290" s="3"/>
      <c r="RUQ290" s="3"/>
      <c r="RUR290" s="3"/>
      <c r="RUS290" s="3"/>
      <c r="RUT290" s="3"/>
      <c r="RUU290" s="3"/>
      <c r="RUV290" s="3"/>
      <c r="RUW290" s="3"/>
      <c r="RUX290" s="3"/>
      <c r="RUY290" s="3"/>
      <c r="RUZ290" s="3"/>
      <c r="RVA290" s="3"/>
      <c r="RVB290" s="3"/>
      <c r="RVC290" s="3"/>
      <c r="RVD290" s="3"/>
      <c r="RVE290" s="3"/>
      <c r="RVF290" s="3"/>
      <c r="RVG290" s="3"/>
      <c r="RVH290" s="3"/>
      <c r="RVI290" s="3"/>
      <c r="RVJ290" s="3"/>
      <c r="RVK290" s="3"/>
      <c r="RVL290" s="3"/>
      <c r="RVM290" s="3"/>
      <c r="RVN290" s="3"/>
      <c r="RVO290" s="3"/>
      <c r="RVP290" s="3"/>
      <c r="RVQ290" s="3"/>
      <c r="RVR290" s="3"/>
      <c r="RVS290" s="3"/>
      <c r="RVT290" s="3"/>
      <c r="RVU290" s="3"/>
      <c r="RVV290" s="3"/>
      <c r="RVW290" s="3"/>
      <c r="RVX290" s="3"/>
      <c r="RVY290" s="3"/>
      <c r="RVZ290" s="3"/>
      <c r="RWA290" s="3"/>
      <c r="RWB290" s="3"/>
      <c r="RWC290" s="3"/>
      <c r="RWD290" s="3"/>
      <c r="RWE290" s="3"/>
      <c r="RWF290" s="3"/>
      <c r="RWG290" s="3"/>
      <c r="RWH290" s="3"/>
      <c r="RWI290" s="3"/>
      <c r="RWJ290" s="3"/>
      <c r="RWK290" s="3"/>
      <c r="RWL290" s="3"/>
      <c r="RWM290" s="3"/>
      <c r="RWN290" s="3"/>
      <c r="RWO290" s="3"/>
      <c r="RWP290" s="3"/>
      <c r="RWQ290" s="3"/>
      <c r="RWR290" s="3"/>
      <c r="RWS290" s="3"/>
      <c r="RWT290" s="3"/>
      <c r="RWU290" s="3"/>
      <c r="RWV290" s="3"/>
      <c r="RWW290" s="3"/>
      <c r="RWX290" s="3"/>
      <c r="RWY290" s="3"/>
      <c r="RWZ290" s="3"/>
      <c r="RXA290" s="3"/>
      <c r="RXB290" s="3"/>
      <c r="RXC290" s="3"/>
      <c r="RXD290" s="3"/>
      <c r="RXE290" s="3"/>
      <c r="RXF290" s="3"/>
      <c r="RXG290" s="3"/>
      <c r="RXH290" s="3"/>
      <c r="RXI290" s="3"/>
      <c r="RXJ290" s="3"/>
      <c r="RXK290" s="3"/>
      <c r="RXL290" s="3"/>
      <c r="RXM290" s="3"/>
      <c r="RXN290" s="3"/>
      <c r="RXO290" s="3"/>
      <c r="RXP290" s="3"/>
      <c r="RXQ290" s="3"/>
      <c r="RXR290" s="3"/>
      <c r="RXS290" s="3"/>
      <c r="RXT290" s="3"/>
      <c r="RXU290" s="3"/>
      <c r="RXV290" s="3"/>
      <c r="RXW290" s="3"/>
      <c r="RXX290" s="3"/>
      <c r="RXY290" s="3"/>
      <c r="RXZ290" s="3"/>
      <c r="RYA290" s="3"/>
      <c r="RYB290" s="3"/>
      <c r="RYC290" s="3"/>
      <c r="RYD290" s="3"/>
      <c r="RYE290" s="3"/>
      <c r="RYF290" s="3"/>
      <c r="RYG290" s="3"/>
      <c r="RYH290" s="3"/>
      <c r="RYI290" s="3"/>
      <c r="RYJ290" s="3"/>
      <c r="RYK290" s="3"/>
      <c r="RYL290" s="3"/>
      <c r="RYM290" s="3"/>
      <c r="RYN290" s="3"/>
      <c r="RYO290" s="3"/>
      <c r="RYP290" s="3"/>
      <c r="RYQ290" s="3"/>
      <c r="RYR290" s="3"/>
      <c r="RYS290" s="3"/>
      <c r="RYT290" s="3"/>
      <c r="RYU290" s="3"/>
      <c r="RYV290" s="3"/>
      <c r="RYW290" s="3"/>
      <c r="RYX290" s="3"/>
      <c r="RYY290" s="3"/>
      <c r="RYZ290" s="3"/>
      <c r="RZA290" s="3"/>
      <c r="RZB290" s="3"/>
      <c r="RZC290" s="3"/>
      <c r="RZD290" s="3"/>
      <c r="RZE290" s="3"/>
      <c r="RZF290" s="3"/>
      <c r="RZG290" s="3"/>
      <c r="RZH290" s="3"/>
      <c r="RZI290" s="3"/>
      <c r="RZJ290" s="3"/>
      <c r="RZK290" s="3"/>
      <c r="RZL290" s="3"/>
      <c r="RZM290" s="3"/>
      <c r="RZN290" s="3"/>
      <c r="RZO290" s="3"/>
      <c r="RZP290" s="3"/>
      <c r="RZQ290" s="3"/>
      <c r="RZR290" s="3"/>
      <c r="RZS290" s="3"/>
      <c r="RZT290" s="3"/>
      <c r="RZU290" s="3"/>
      <c r="RZV290" s="3"/>
      <c r="RZW290" s="3"/>
      <c r="RZX290" s="3"/>
      <c r="RZY290" s="3"/>
      <c r="RZZ290" s="3"/>
      <c r="SAA290" s="3"/>
      <c r="SAB290" s="3"/>
      <c r="SAC290" s="3"/>
      <c r="SAD290" s="3"/>
      <c r="SAE290" s="3"/>
      <c r="SAF290" s="3"/>
      <c r="SAG290" s="3"/>
      <c r="SAH290" s="3"/>
      <c r="SAI290" s="3"/>
      <c r="SAJ290" s="3"/>
      <c r="SAK290" s="3"/>
      <c r="SAL290" s="3"/>
      <c r="SAM290" s="3"/>
      <c r="SAN290" s="3"/>
      <c r="SAO290" s="3"/>
      <c r="SAP290" s="3"/>
      <c r="SAQ290" s="3"/>
      <c r="SAR290" s="3"/>
      <c r="SAS290" s="3"/>
      <c r="SAT290" s="3"/>
      <c r="SAU290" s="3"/>
      <c r="SAV290" s="3"/>
      <c r="SAW290" s="3"/>
      <c r="SAX290" s="3"/>
      <c r="SAY290" s="3"/>
      <c r="SAZ290" s="3"/>
      <c r="SBA290" s="3"/>
      <c r="SBB290" s="3"/>
      <c r="SBC290" s="3"/>
      <c r="SBD290" s="3"/>
      <c r="SBE290" s="3"/>
      <c r="SBF290" s="3"/>
      <c r="SBG290" s="3"/>
      <c r="SBH290" s="3"/>
      <c r="SBI290" s="3"/>
      <c r="SBJ290" s="3"/>
      <c r="SBK290" s="3"/>
      <c r="SBL290" s="3"/>
      <c r="SBM290" s="3"/>
      <c r="SBN290" s="3"/>
      <c r="SBO290" s="3"/>
      <c r="SBP290" s="3"/>
      <c r="SBQ290" s="3"/>
      <c r="SBR290" s="3"/>
      <c r="SBS290" s="3"/>
      <c r="SBT290" s="3"/>
      <c r="SBU290" s="3"/>
      <c r="SBV290" s="3"/>
      <c r="SBW290" s="3"/>
      <c r="SBX290" s="3"/>
      <c r="SBY290" s="3"/>
      <c r="SBZ290" s="3"/>
      <c r="SCA290" s="3"/>
      <c r="SCB290" s="3"/>
      <c r="SCC290" s="3"/>
      <c r="SCD290" s="3"/>
      <c r="SCE290" s="3"/>
      <c r="SCF290" s="3"/>
      <c r="SCG290" s="3"/>
      <c r="SCH290" s="3"/>
      <c r="SCI290" s="3"/>
      <c r="SCJ290" s="3"/>
      <c r="SCK290" s="3"/>
      <c r="SCL290" s="3"/>
      <c r="SCM290" s="3"/>
      <c r="SCN290" s="3"/>
      <c r="SCO290" s="3"/>
      <c r="SCP290" s="3"/>
      <c r="SCQ290" s="3"/>
      <c r="SCR290" s="3"/>
      <c r="SCS290" s="3"/>
      <c r="SCT290" s="3"/>
      <c r="SCU290" s="3"/>
      <c r="SCV290" s="3"/>
      <c r="SCW290" s="3"/>
      <c r="SCX290" s="3"/>
      <c r="SCY290" s="3"/>
      <c r="SCZ290" s="3"/>
      <c r="SDA290" s="3"/>
      <c r="SDB290" s="3"/>
      <c r="SDC290" s="3"/>
      <c r="SDD290" s="3"/>
      <c r="SDE290" s="3"/>
      <c r="SDF290" s="3"/>
      <c r="SDG290" s="3"/>
      <c r="SDH290" s="3"/>
      <c r="SDI290" s="3"/>
      <c r="SDJ290" s="3"/>
      <c r="SDK290" s="3"/>
      <c r="SDL290" s="3"/>
      <c r="SDM290" s="3"/>
      <c r="SDN290" s="3"/>
      <c r="SDO290" s="3"/>
      <c r="SDP290" s="3"/>
      <c r="SDQ290" s="3"/>
      <c r="SDR290" s="3"/>
      <c r="SDS290" s="3"/>
      <c r="SDT290" s="3"/>
      <c r="SDU290" s="3"/>
      <c r="SDV290" s="3"/>
      <c r="SDW290" s="3"/>
      <c r="SDX290" s="3"/>
      <c r="SDY290" s="3"/>
      <c r="SDZ290" s="3"/>
      <c r="SEA290" s="3"/>
      <c r="SEB290" s="3"/>
      <c r="SEC290" s="3"/>
      <c r="SED290" s="3"/>
      <c r="SEE290" s="3"/>
      <c r="SEF290" s="3"/>
      <c r="SEG290" s="3"/>
      <c r="SEH290" s="3"/>
      <c r="SEI290" s="3"/>
      <c r="SEJ290" s="3"/>
      <c r="SEK290" s="3"/>
      <c r="SEL290" s="3"/>
      <c r="SEM290" s="3"/>
      <c r="SEN290" s="3"/>
      <c r="SEO290" s="3"/>
      <c r="SEP290" s="3"/>
      <c r="SEQ290" s="3"/>
      <c r="SER290" s="3"/>
      <c r="SES290" s="3"/>
      <c r="SET290" s="3"/>
      <c r="SEU290" s="3"/>
      <c r="SEV290" s="3"/>
      <c r="SEW290" s="3"/>
      <c r="SEX290" s="3"/>
      <c r="SEY290" s="3"/>
      <c r="SEZ290" s="3"/>
      <c r="SFA290" s="3"/>
      <c r="SFB290" s="3"/>
      <c r="SFC290" s="3"/>
      <c r="SFD290" s="3"/>
      <c r="SFE290" s="3"/>
      <c r="SFF290" s="3"/>
      <c r="SFG290" s="3"/>
      <c r="SFH290" s="3"/>
      <c r="SFI290" s="3"/>
      <c r="SFJ290" s="3"/>
      <c r="SFK290" s="3"/>
      <c r="SFL290" s="3"/>
      <c r="SFM290" s="3"/>
      <c r="SFN290" s="3"/>
      <c r="SFO290" s="3"/>
      <c r="SFP290" s="3"/>
      <c r="SFQ290" s="3"/>
      <c r="SFR290" s="3"/>
      <c r="SFS290" s="3"/>
      <c r="SFT290" s="3"/>
      <c r="SFU290" s="3"/>
      <c r="SFV290" s="3"/>
      <c r="SFW290" s="3"/>
      <c r="SFX290" s="3"/>
      <c r="SFY290" s="3"/>
      <c r="SFZ290" s="3"/>
      <c r="SGA290" s="3"/>
      <c r="SGB290" s="3"/>
      <c r="SGC290" s="3"/>
      <c r="SGD290" s="3"/>
      <c r="SGE290" s="3"/>
      <c r="SGF290" s="3"/>
      <c r="SGG290" s="3"/>
      <c r="SGH290" s="3"/>
      <c r="SGI290" s="3"/>
      <c r="SGJ290" s="3"/>
      <c r="SGK290" s="3"/>
      <c r="SGL290" s="3"/>
      <c r="SGM290" s="3"/>
      <c r="SGN290" s="3"/>
      <c r="SGO290" s="3"/>
      <c r="SGP290" s="3"/>
      <c r="SGQ290" s="3"/>
      <c r="SGR290" s="3"/>
      <c r="SGS290" s="3"/>
      <c r="SGT290" s="3"/>
      <c r="SGU290" s="3"/>
      <c r="SGV290" s="3"/>
      <c r="SGW290" s="3"/>
      <c r="SGX290" s="3"/>
      <c r="SGY290" s="3"/>
      <c r="SGZ290" s="3"/>
      <c r="SHA290" s="3"/>
      <c r="SHB290" s="3"/>
      <c r="SHC290" s="3"/>
      <c r="SHD290" s="3"/>
      <c r="SHE290" s="3"/>
      <c r="SHF290" s="3"/>
      <c r="SHG290" s="3"/>
      <c r="SHH290" s="3"/>
      <c r="SHI290" s="3"/>
      <c r="SHJ290" s="3"/>
      <c r="SHK290" s="3"/>
      <c r="SHL290" s="3"/>
      <c r="SHM290" s="3"/>
      <c r="SHN290" s="3"/>
      <c r="SHO290" s="3"/>
      <c r="SHP290" s="3"/>
      <c r="SHQ290" s="3"/>
      <c r="SHR290" s="3"/>
      <c r="SHS290" s="3"/>
      <c r="SHT290" s="3"/>
      <c r="SHU290" s="3"/>
      <c r="SHV290" s="3"/>
      <c r="SHW290" s="3"/>
      <c r="SHX290" s="3"/>
      <c r="SHY290" s="3"/>
      <c r="SHZ290" s="3"/>
      <c r="SIA290" s="3"/>
      <c r="SIB290" s="3"/>
      <c r="SIC290" s="3"/>
      <c r="SID290" s="3"/>
      <c r="SIE290" s="3"/>
      <c r="SIF290" s="3"/>
      <c r="SIG290" s="3"/>
      <c r="SIH290" s="3"/>
      <c r="SII290" s="3"/>
      <c r="SIJ290" s="3"/>
      <c r="SIK290" s="3"/>
      <c r="SIL290" s="3"/>
      <c r="SIM290" s="3"/>
      <c r="SIN290" s="3"/>
      <c r="SIO290" s="3"/>
      <c r="SIP290" s="3"/>
      <c r="SIQ290" s="3"/>
      <c r="SIR290" s="3"/>
      <c r="SIS290" s="3"/>
      <c r="SIT290" s="3"/>
      <c r="SIU290" s="3"/>
      <c r="SIV290" s="3"/>
      <c r="SIW290" s="3"/>
      <c r="SIX290" s="3"/>
      <c r="SIY290" s="3"/>
      <c r="SIZ290" s="3"/>
      <c r="SJA290" s="3"/>
      <c r="SJB290" s="3"/>
      <c r="SJC290" s="3"/>
      <c r="SJD290" s="3"/>
      <c r="SJE290" s="3"/>
      <c r="SJF290" s="3"/>
      <c r="SJG290" s="3"/>
      <c r="SJH290" s="3"/>
      <c r="SJI290" s="3"/>
      <c r="SJJ290" s="3"/>
      <c r="SJK290" s="3"/>
      <c r="SJL290" s="3"/>
      <c r="SJM290" s="3"/>
      <c r="SJN290" s="3"/>
      <c r="SJO290" s="3"/>
      <c r="SJP290" s="3"/>
      <c r="SJQ290" s="3"/>
      <c r="SJR290" s="3"/>
      <c r="SJS290" s="3"/>
      <c r="SJT290" s="3"/>
      <c r="SJU290" s="3"/>
      <c r="SJV290" s="3"/>
      <c r="SJW290" s="3"/>
      <c r="SJX290" s="3"/>
      <c r="SJY290" s="3"/>
      <c r="SJZ290" s="3"/>
      <c r="SKA290" s="3"/>
      <c r="SKB290" s="3"/>
      <c r="SKC290" s="3"/>
      <c r="SKD290" s="3"/>
      <c r="SKE290" s="3"/>
      <c r="SKF290" s="3"/>
      <c r="SKG290" s="3"/>
      <c r="SKH290" s="3"/>
      <c r="SKI290" s="3"/>
      <c r="SKJ290" s="3"/>
      <c r="SKK290" s="3"/>
      <c r="SKL290" s="3"/>
      <c r="SKM290" s="3"/>
      <c r="SKN290" s="3"/>
      <c r="SKO290" s="3"/>
      <c r="SKP290" s="3"/>
      <c r="SKQ290" s="3"/>
      <c r="SKR290" s="3"/>
      <c r="SKS290" s="3"/>
      <c r="SKT290" s="3"/>
      <c r="SKU290" s="3"/>
      <c r="SKV290" s="3"/>
      <c r="SKW290" s="3"/>
      <c r="SKX290" s="3"/>
      <c r="SKY290" s="3"/>
      <c r="SKZ290" s="3"/>
      <c r="SLA290" s="3"/>
      <c r="SLB290" s="3"/>
      <c r="SLC290" s="3"/>
      <c r="SLD290" s="3"/>
      <c r="SLE290" s="3"/>
      <c r="SLF290" s="3"/>
      <c r="SLG290" s="3"/>
      <c r="SLH290" s="3"/>
      <c r="SLI290" s="3"/>
      <c r="SLJ290" s="3"/>
      <c r="SLK290" s="3"/>
      <c r="SLL290" s="3"/>
      <c r="SLM290" s="3"/>
      <c r="SLN290" s="3"/>
      <c r="SLO290" s="3"/>
      <c r="SLP290" s="3"/>
      <c r="SLQ290" s="3"/>
      <c r="SLR290" s="3"/>
      <c r="SLS290" s="3"/>
      <c r="SLT290" s="3"/>
      <c r="SLU290" s="3"/>
      <c r="SLV290" s="3"/>
      <c r="SLW290" s="3"/>
      <c r="SLX290" s="3"/>
      <c r="SLY290" s="3"/>
      <c r="SLZ290" s="3"/>
      <c r="SMA290" s="3"/>
      <c r="SMB290" s="3"/>
      <c r="SMC290" s="3"/>
      <c r="SMD290" s="3"/>
      <c r="SME290" s="3"/>
      <c r="SMF290" s="3"/>
      <c r="SMG290" s="3"/>
      <c r="SMH290" s="3"/>
      <c r="SMI290" s="3"/>
      <c r="SMJ290" s="3"/>
      <c r="SMK290" s="3"/>
      <c r="SML290" s="3"/>
      <c r="SMM290" s="3"/>
      <c r="SMN290" s="3"/>
      <c r="SMO290" s="3"/>
      <c r="SMP290" s="3"/>
      <c r="SMQ290" s="3"/>
      <c r="SMR290" s="3"/>
      <c r="SMS290" s="3"/>
      <c r="SMT290" s="3"/>
      <c r="SMU290" s="3"/>
      <c r="SMV290" s="3"/>
      <c r="SMW290" s="3"/>
      <c r="SMX290" s="3"/>
      <c r="SMY290" s="3"/>
      <c r="SMZ290" s="3"/>
      <c r="SNA290" s="3"/>
      <c r="SNB290" s="3"/>
      <c r="SNC290" s="3"/>
      <c r="SND290" s="3"/>
      <c r="SNE290" s="3"/>
      <c r="SNF290" s="3"/>
      <c r="SNG290" s="3"/>
      <c r="SNH290" s="3"/>
      <c r="SNI290" s="3"/>
      <c r="SNJ290" s="3"/>
      <c r="SNK290" s="3"/>
      <c r="SNL290" s="3"/>
      <c r="SNM290" s="3"/>
      <c r="SNN290" s="3"/>
      <c r="SNO290" s="3"/>
      <c r="SNP290" s="3"/>
      <c r="SNQ290" s="3"/>
      <c r="SNR290" s="3"/>
      <c r="SNS290" s="3"/>
      <c r="SNT290" s="3"/>
      <c r="SNU290" s="3"/>
      <c r="SNV290" s="3"/>
      <c r="SNW290" s="3"/>
      <c r="SNX290" s="3"/>
      <c r="SNY290" s="3"/>
      <c r="SNZ290" s="3"/>
      <c r="SOA290" s="3"/>
      <c r="SOB290" s="3"/>
      <c r="SOC290" s="3"/>
      <c r="SOD290" s="3"/>
      <c r="SOE290" s="3"/>
      <c r="SOF290" s="3"/>
      <c r="SOG290" s="3"/>
      <c r="SOH290" s="3"/>
      <c r="SOI290" s="3"/>
      <c r="SOJ290" s="3"/>
      <c r="SOK290" s="3"/>
      <c r="SOL290" s="3"/>
      <c r="SOM290" s="3"/>
      <c r="SON290" s="3"/>
      <c r="SOO290" s="3"/>
      <c r="SOP290" s="3"/>
      <c r="SOQ290" s="3"/>
      <c r="SOR290" s="3"/>
      <c r="SOS290" s="3"/>
      <c r="SOT290" s="3"/>
      <c r="SOU290" s="3"/>
      <c r="SOV290" s="3"/>
      <c r="SOW290" s="3"/>
      <c r="SOX290" s="3"/>
      <c r="SOY290" s="3"/>
      <c r="SOZ290" s="3"/>
      <c r="SPA290" s="3"/>
      <c r="SPB290" s="3"/>
      <c r="SPC290" s="3"/>
      <c r="SPD290" s="3"/>
      <c r="SPE290" s="3"/>
      <c r="SPF290" s="3"/>
      <c r="SPG290" s="3"/>
      <c r="SPH290" s="3"/>
      <c r="SPI290" s="3"/>
      <c r="SPJ290" s="3"/>
      <c r="SPK290" s="3"/>
      <c r="SPL290" s="3"/>
      <c r="SPM290" s="3"/>
      <c r="SPN290" s="3"/>
      <c r="SPO290" s="3"/>
      <c r="SPP290" s="3"/>
      <c r="SPQ290" s="3"/>
      <c r="SPR290" s="3"/>
      <c r="SPS290" s="3"/>
      <c r="SPT290" s="3"/>
      <c r="SPU290" s="3"/>
      <c r="SPV290" s="3"/>
      <c r="SPW290" s="3"/>
      <c r="SPX290" s="3"/>
      <c r="SPY290" s="3"/>
      <c r="SPZ290" s="3"/>
      <c r="SQA290" s="3"/>
      <c r="SQB290" s="3"/>
      <c r="SQC290" s="3"/>
      <c r="SQD290" s="3"/>
      <c r="SQE290" s="3"/>
      <c r="SQF290" s="3"/>
      <c r="SQG290" s="3"/>
      <c r="SQH290" s="3"/>
      <c r="SQI290" s="3"/>
      <c r="SQJ290" s="3"/>
      <c r="SQK290" s="3"/>
      <c r="SQL290" s="3"/>
      <c r="SQM290" s="3"/>
      <c r="SQN290" s="3"/>
      <c r="SQO290" s="3"/>
      <c r="SQP290" s="3"/>
      <c r="SQQ290" s="3"/>
      <c r="SQR290" s="3"/>
      <c r="SQS290" s="3"/>
      <c r="SQT290" s="3"/>
      <c r="SQU290" s="3"/>
      <c r="SQV290" s="3"/>
      <c r="SQW290" s="3"/>
      <c r="SQX290" s="3"/>
      <c r="SQY290" s="3"/>
      <c r="SQZ290" s="3"/>
      <c r="SRA290" s="3"/>
      <c r="SRB290" s="3"/>
      <c r="SRC290" s="3"/>
      <c r="SRD290" s="3"/>
      <c r="SRE290" s="3"/>
      <c r="SRF290" s="3"/>
      <c r="SRG290" s="3"/>
      <c r="SRH290" s="3"/>
      <c r="SRI290" s="3"/>
      <c r="SRJ290" s="3"/>
      <c r="SRK290" s="3"/>
      <c r="SRL290" s="3"/>
      <c r="SRM290" s="3"/>
      <c r="SRN290" s="3"/>
      <c r="SRO290" s="3"/>
      <c r="SRP290" s="3"/>
      <c r="SRQ290" s="3"/>
      <c r="SRR290" s="3"/>
      <c r="SRS290" s="3"/>
      <c r="SRT290" s="3"/>
      <c r="SRU290" s="3"/>
      <c r="SRV290" s="3"/>
      <c r="SRW290" s="3"/>
      <c r="SRX290" s="3"/>
      <c r="SRY290" s="3"/>
      <c r="SRZ290" s="3"/>
      <c r="SSA290" s="3"/>
      <c r="SSB290" s="3"/>
      <c r="SSC290" s="3"/>
      <c r="SSD290" s="3"/>
      <c r="SSE290" s="3"/>
      <c r="SSF290" s="3"/>
      <c r="SSG290" s="3"/>
      <c r="SSH290" s="3"/>
      <c r="SSI290" s="3"/>
      <c r="SSJ290" s="3"/>
      <c r="SSK290" s="3"/>
      <c r="SSL290" s="3"/>
      <c r="SSM290" s="3"/>
      <c r="SSN290" s="3"/>
      <c r="SSO290" s="3"/>
      <c r="SSP290" s="3"/>
      <c r="SSQ290" s="3"/>
      <c r="SSR290" s="3"/>
      <c r="SSS290" s="3"/>
      <c r="SST290" s="3"/>
      <c r="SSU290" s="3"/>
      <c r="SSV290" s="3"/>
      <c r="SSW290" s="3"/>
      <c r="SSX290" s="3"/>
      <c r="SSY290" s="3"/>
      <c r="SSZ290" s="3"/>
      <c r="STA290" s="3"/>
      <c r="STB290" s="3"/>
      <c r="STC290" s="3"/>
      <c r="STD290" s="3"/>
      <c r="STE290" s="3"/>
      <c r="STF290" s="3"/>
      <c r="STG290" s="3"/>
      <c r="STH290" s="3"/>
      <c r="STI290" s="3"/>
      <c r="STJ290" s="3"/>
      <c r="STK290" s="3"/>
      <c r="STL290" s="3"/>
      <c r="STM290" s="3"/>
      <c r="STN290" s="3"/>
      <c r="STO290" s="3"/>
      <c r="STP290" s="3"/>
      <c r="STQ290" s="3"/>
      <c r="STR290" s="3"/>
      <c r="STS290" s="3"/>
      <c r="STT290" s="3"/>
      <c r="STU290" s="3"/>
      <c r="STV290" s="3"/>
      <c r="STW290" s="3"/>
      <c r="STX290" s="3"/>
      <c r="STY290" s="3"/>
      <c r="STZ290" s="3"/>
      <c r="SUA290" s="3"/>
      <c r="SUB290" s="3"/>
      <c r="SUC290" s="3"/>
      <c r="SUD290" s="3"/>
      <c r="SUE290" s="3"/>
      <c r="SUF290" s="3"/>
      <c r="SUG290" s="3"/>
      <c r="SUH290" s="3"/>
      <c r="SUI290" s="3"/>
      <c r="SUJ290" s="3"/>
      <c r="SUK290" s="3"/>
      <c r="SUL290" s="3"/>
      <c r="SUM290" s="3"/>
      <c r="SUN290" s="3"/>
      <c r="SUO290" s="3"/>
      <c r="SUP290" s="3"/>
      <c r="SUQ290" s="3"/>
      <c r="SUR290" s="3"/>
      <c r="SUS290" s="3"/>
      <c r="SUT290" s="3"/>
      <c r="SUU290" s="3"/>
      <c r="SUV290" s="3"/>
      <c r="SUW290" s="3"/>
      <c r="SUX290" s="3"/>
      <c r="SUY290" s="3"/>
      <c r="SUZ290" s="3"/>
      <c r="SVA290" s="3"/>
      <c r="SVB290" s="3"/>
      <c r="SVC290" s="3"/>
      <c r="SVD290" s="3"/>
      <c r="SVE290" s="3"/>
      <c r="SVF290" s="3"/>
      <c r="SVG290" s="3"/>
      <c r="SVH290" s="3"/>
      <c r="SVI290" s="3"/>
      <c r="SVJ290" s="3"/>
      <c r="SVK290" s="3"/>
      <c r="SVL290" s="3"/>
      <c r="SVM290" s="3"/>
      <c r="SVN290" s="3"/>
      <c r="SVO290" s="3"/>
      <c r="SVP290" s="3"/>
      <c r="SVQ290" s="3"/>
      <c r="SVR290" s="3"/>
      <c r="SVS290" s="3"/>
      <c r="SVT290" s="3"/>
      <c r="SVU290" s="3"/>
      <c r="SVV290" s="3"/>
      <c r="SVW290" s="3"/>
      <c r="SVX290" s="3"/>
      <c r="SVY290" s="3"/>
      <c r="SVZ290" s="3"/>
      <c r="SWA290" s="3"/>
      <c r="SWB290" s="3"/>
      <c r="SWC290" s="3"/>
      <c r="SWD290" s="3"/>
      <c r="SWE290" s="3"/>
      <c r="SWF290" s="3"/>
      <c r="SWG290" s="3"/>
      <c r="SWH290" s="3"/>
      <c r="SWI290" s="3"/>
      <c r="SWJ290" s="3"/>
      <c r="SWK290" s="3"/>
      <c r="SWL290" s="3"/>
      <c r="SWM290" s="3"/>
      <c r="SWN290" s="3"/>
      <c r="SWO290" s="3"/>
      <c r="SWP290" s="3"/>
      <c r="SWQ290" s="3"/>
      <c r="SWR290" s="3"/>
      <c r="SWS290" s="3"/>
      <c r="SWT290" s="3"/>
      <c r="SWU290" s="3"/>
      <c r="SWV290" s="3"/>
      <c r="SWW290" s="3"/>
      <c r="SWX290" s="3"/>
      <c r="SWY290" s="3"/>
      <c r="SWZ290" s="3"/>
      <c r="SXA290" s="3"/>
      <c r="SXB290" s="3"/>
      <c r="SXC290" s="3"/>
      <c r="SXD290" s="3"/>
      <c r="SXE290" s="3"/>
      <c r="SXF290" s="3"/>
      <c r="SXG290" s="3"/>
      <c r="SXH290" s="3"/>
      <c r="SXI290" s="3"/>
      <c r="SXJ290" s="3"/>
      <c r="SXK290" s="3"/>
      <c r="SXL290" s="3"/>
      <c r="SXM290" s="3"/>
      <c r="SXN290" s="3"/>
      <c r="SXO290" s="3"/>
      <c r="SXP290" s="3"/>
      <c r="SXQ290" s="3"/>
      <c r="SXR290" s="3"/>
      <c r="SXS290" s="3"/>
      <c r="SXT290" s="3"/>
      <c r="SXU290" s="3"/>
      <c r="SXV290" s="3"/>
      <c r="SXW290" s="3"/>
      <c r="SXX290" s="3"/>
      <c r="SXY290" s="3"/>
      <c r="SXZ290" s="3"/>
      <c r="SYA290" s="3"/>
      <c r="SYB290" s="3"/>
      <c r="SYC290" s="3"/>
      <c r="SYD290" s="3"/>
      <c r="SYE290" s="3"/>
      <c r="SYF290" s="3"/>
      <c r="SYG290" s="3"/>
      <c r="SYH290" s="3"/>
      <c r="SYI290" s="3"/>
      <c r="SYJ290" s="3"/>
      <c r="SYK290" s="3"/>
      <c r="SYL290" s="3"/>
      <c r="SYM290" s="3"/>
      <c r="SYN290" s="3"/>
      <c r="SYO290" s="3"/>
      <c r="SYP290" s="3"/>
      <c r="SYQ290" s="3"/>
      <c r="SYR290" s="3"/>
      <c r="SYS290" s="3"/>
      <c r="SYT290" s="3"/>
      <c r="SYU290" s="3"/>
      <c r="SYV290" s="3"/>
      <c r="SYW290" s="3"/>
      <c r="SYX290" s="3"/>
      <c r="SYY290" s="3"/>
      <c r="SYZ290" s="3"/>
      <c r="SZA290" s="3"/>
      <c r="SZB290" s="3"/>
      <c r="SZC290" s="3"/>
      <c r="SZD290" s="3"/>
      <c r="SZE290" s="3"/>
      <c r="SZF290" s="3"/>
      <c r="SZG290" s="3"/>
      <c r="SZH290" s="3"/>
      <c r="SZI290" s="3"/>
      <c r="SZJ290" s="3"/>
      <c r="SZK290" s="3"/>
      <c r="SZL290" s="3"/>
      <c r="SZM290" s="3"/>
      <c r="SZN290" s="3"/>
      <c r="SZO290" s="3"/>
      <c r="SZP290" s="3"/>
      <c r="SZQ290" s="3"/>
      <c r="SZR290" s="3"/>
      <c r="SZS290" s="3"/>
      <c r="SZT290" s="3"/>
      <c r="SZU290" s="3"/>
      <c r="SZV290" s="3"/>
      <c r="SZW290" s="3"/>
      <c r="SZX290" s="3"/>
      <c r="SZY290" s="3"/>
      <c r="SZZ290" s="3"/>
      <c r="TAA290" s="3"/>
      <c r="TAB290" s="3"/>
      <c r="TAC290" s="3"/>
      <c r="TAD290" s="3"/>
      <c r="TAE290" s="3"/>
      <c r="TAF290" s="3"/>
      <c r="TAG290" s="3"/>
      <c r="TAH290" s="3"/>
      <c r="TAI290" s="3"/>
      <c r="TAJ290" s="3"/>
      <c r="TAK290" s="3"/>
      <c r="TAL290" s="3"/>
      <c r="TAM290" s="3"/>
      <c r="TAN290" s="3"/>
      <c r="TAO290" s="3"/>
      <c r="TAP290" s="3"/>
      <c r="TAQ290" s="3"/>
      <c r="TAR290" s="3"/>
      <c r="TAS290" s="3"/>
      <c r="TAT290" s="3"/>
      <c r="TAU290" s="3"/>
      <c r="TAV290" s="3"/>
      <c r="TAW290" s="3"/>
      <c r="TAX290" s="3"/>
      <c r="TAY290" s="3"/>
      <c r="TAZ290" s="3"/>
      <c r="TBA290" s="3"/>
      <c r="TBB290" s="3"/>
      <c r="TBC290" s="3"/>
      <c r="TBD290" s="3"/>
      <c r="TBE290" s="3"/>
      <c r="TBF290" s="3"/>
      <c r="TBG290" s="3"/>
      <c r="TBH290" s="3"/>
      <c r="TBI290" s="3"/>
      <c r="TBJ290" s="3"/>
      <c r="TBK290" s="3"/>
      <c r="TBL290" s="3"/>
      <c r="TBM290" s="3"/>
      <c r="TBN290" s="3"/>
      <c r="TBO290" s="3"/>
      <c r="TBP290" s="3"/>
      <c r="TBQ290" s="3"/>
      <c r="TBR290" s="3"/>
      <c r="TBS290" s="3"/>
      <c r="TBT290" s="3"/>
      <c r="TBU290" s="3"/>
      <c r="TBV290" s="3"/>
      <c r="TBW290" s="3"/>
      <c r="TBX290" s="3"/>
      <c r="TBY290" s="3"/>
      <c r="TBZ290" s="3"/>
      <c r="TCA290" s="3"/>
      <c r="TCB290" s="3"/>
      <c r="TCC290" s="3"/>
      <c r="TCD290" s="3"/>
      <c r="TCE290" s="3"/>
      <c r="TCF290" s="3"/>
      <c r="TCG290" s="3"/>
      <c r="TCH290" s="3"/>
      <c r="TCI290" s="3"/>
      <c r="TCJ290" s="3"/>
      <c r="TCK290" s="3"/>
      <c r="TCL290" s="3"/>
      <c r="TCM290" s="3"/>
      <c r="TCN290" s="3"/>
      <c r="TCO290" s="3"/>
      <c r="TCP290" s="3"/>
      <c r="TCQ290" s="3"/>
      <c r="TCR290" s="3"/>
      <c r="TCS290" s="3"/>
      <c r="TCT290" s="3"/>
      <c r="TCU290" s="3"/>
      <c r="TCV290" s="3"/>
      <c r="TCW290" s="3"/>
      <c r="TCX290" s="3"/>
      <c r="TCY290" s="3"/>
      <c r="TCZ290" s="3"/>
      <c r="TDA290" s="3"/>
      <c r="TDB290" s="3"/>
      <c r="TDC290" s="3"/>
      <c r="TDD290" s="3"/>
      <c r="TDE290" s="3"/>
      <c r="TDF290" s="3"/>
      <c r="TDG290" s="3"/>
      <c r="TDH290" s="3"/>
      <c r="TDI290" s="3"/>
      <c r="TDJ290" s="3"/>
      <c r="TDK290" s="3"/>
      <c r="TDL290" s="3"/>
      <c r="TDM290" s="3"/>
      <c r="TDN290" s="3"/>
      <c r="TDO290" s="3"/>
      <c r="TDP290" s="3"/>
      <c r="TDQ290" s="3"/>
      <c r="TDR290" s="3"/>
      <c r="TDS290" s="3"/>
      <c r="TDT290" s="3"/>
      <c r="TDU290" s="3"/>
      <c r="TDV290" s="3"/>
      <c r="TDW290" s="3"/>
      <c r="TDX290" s="3"/>
      <c r="TDY290" s="3"/>
      <c r="TDZ290" s="3"/>
      <c r="TEA290" s="3"/>
      <c r="TEB290" s="3"/>
      <c r="TEC290" s="3"/>
      <c r="TED290" s="3"/>
      <c r="TEE290" s="3"/>
      <c r="TEF290" s="3"/>
      <c r="TEG290" s="3"/>
      <c r="TEH290" s="3"/>
      <c r="TEI290" s="3"/>
      <c r="TEJ290" s="3"/>
      <c r="TEK290" s="3"/>
      <c r="TEL290" s="3"/>
      <c r="TEM290" s="3"/>
      <c r="TEN290" s="3"/>
      <c r="TEO290" s="3"/>
      <c r="TEP290" s="3"/>
      <c r="TEQ290" s="3"/>
      <c r="TER290" s="3"/>
      <c r="TES290" s="3"/>
      <c r="TET290" s="3"/>
      <c r="TEU290" s="3"/>
      <c r="TEV290" s="3"/>
      <c r="TEW290" s="3"/>
      <c r="TEX290" s="3"/>
      <c r="TEY290" s="3"/>
      <c r="TEZ290" s="3"/>
      <c r="TFA290" s="3"/>
      <c r="TFB290" s="3"/>
      <c r="TFC290" s="3"/>
      <c r="TFD290" s="3"/>
      <c r="TFE290" s="3"/>
      <c r="TFF290" s="3"/>
      <c r="TFG290" s="3"/>
      <c r="TFH290" s="3"/>
      <c r="TFI290" s="3"/>
      <c r="TFJ290" s="3"/>
      <c r="TFK290" s="3"/>
      <c r="TFL290" s="3"/>
      <c r="TFM290" s="3"/>
      <c r="TFN290" s="3"/>
      <c r="TFO290" s="3"/>
      <c r="TFP290" s="3"/>
      <c r="TFQ290" s="3"/>
      <c r="TFR290" s="3"/>
      <c r="TFS290" s="3"/>
      <c r="TFT290" s="3"/>
      <c r="TFU290" s="3"/>
      <c r="TFV290" s="3"/>
      <c r="TFW290" s="3"/>
      <c r="TFX290" s="3"/>
      <c r="TFY290" s="3"/>
      <c r="TFZ290" s="3"/>
      <c r="TGA290" s="3"/>
      <c r="TGB290" s="3"/>
      <c r="TGC290" s="3"/>
      <c r="TGD290" s="3"/>
      <c r="TGE290" s="3"/>
      <c r="TGF290" s="3"/>
      <c r="TGG290" s="3"/>
      <c r="TGH290" s="3"/>
      <c r="TGI290" s="3"/>
      <c r="TGJ290" s="3"/>
      <c r="TGK290" s="3"/>
      <c r="TGL290" s="3"/>
      <c r="TGM290" s="3"/>
      <c r="TGN290" s="3"/>
      <c r="TGO290" s="3"/>
      <c r="TGP290" s="3"/>
      <c r="TGQ290" s="3"/>
      <c r="TGR290" s="3"/>
      <c r="TGS290" s="3"/>
      <c r="TGT290" s="3"/>
      <c r="TGU290" s="3"/>
      <c r="TGV290" s="3"/>
      <c r="TGW290" s="3"/>
      <c r="TGX290" s="3"/>
      <c r="TGY290" s="3"/>
      <c r="TGZ290" s="3"/>
      <c r="THA290" s="3"/>
      <c r="THB290" s="3"/>
      <c r="THC290" s="3"/>
      <c r="THD290" s="3"/>
      <c r="THE290" s="3"/>
      <c r="THF290" s="3"/>
      <c r="THG290" s="3"/>
      <c r="THH290" s="3"/>
      <c r="THI290" s="3"/>
      <c r="THJ290" s="3"/>
      <c r="THK290" s="3"/>
      <c r="THL290" s="3"/>
      <c r="THM290" s="3"/>
      <c r="THN290" s="3"/>
      <c r="THO290" s="3"/>
      <c r="THP290" s="3"/>
      <c r="THQ290" s="3"/>
      <c r="THR290" s="3"/>
      <c r="THS290" s="3"/>
      <c r="THT290" s="3"/>
      <c r="THU290" s="3"/>
      <c r="THV290" s="3"/>
      <c r="THW290" s="3"/>
      <c r="THX290" s="3"/>
      <c r="THY290" s="3"/>
      <c r="THZ290" s="3"/>
      <c r="TIA290" s="3"/>
      <c r="TIB290" s="3"/>
      <c r="TIC290" s="3"/>
      <c r="TID290" s="3"/>
      <c r="TIE290" s="3"/>
      <c r="TIF290" s="3"/>
      <c r="TIG290" s="3"/>
      <c r="TIH290" s="3"/>
      <c r="TII290" s="3"/>
      <c r="TIJ290" s="3"/>
      <c r="TIK290" s="3"/>
      <c r="TIL290" s="3"/>
      <c r="TIM290" s="3"/>
      <c r="TIN290" s="3"/>
      <c r="TIO290" s="3"/>
      <c r="TIP290" s="3"/>
      <c r="TIQ290" s="3"/>
      <c r="TIR290" s="3"/>
      <c r="TIS290" s="3"/>
      <c r="TIT290" s="3"/>
      <c r="TIU290" s="3"/>
      <c r="TIV290" s="3"/>
      <c r="TIW290" s="3"/>
      <c r="TIX290" s="3"/>
      <c r="TIY290" s="3"/>
      <c r="TIZ290" s="3"/>
      <c r="TJA290" s="3"/>
      <c r="TJB290" s="3"/>
      <c r="TJC290" s="3"/>
      <c r="TJD290" s="3"/>
      <c r="TJE290" s="3"/>
      <c r="TJF290" s="3"/>
      <c r="TJG290" s="3"/>
      <c r="TJH290" s="3"/>
      <c r="TJI290" s="3"/>
      <c r="TJJ290" s="3"/>
      <c r="TJK290" s="3"/>
      <c r="TJL290" s="3"/>
      <c r="TJM290" s="3"/>
      <c r="TJN290" s="3"/>
      <c r="TJO290" s="3"/>
      <c r="TJP290" s="3"/>
      <c r="TJQ290" s="3"/>
      <c r="TJR290" s="3"/>
      <c r="TJS290" s="3"/>
      <c r="TJT290" s="3"/>
      <c r="TJU290" s="3"/>
      <c r="TJV290" s="3"/>
      <c r="TJW290" s="3"/>
      <c r="TJX290" s="3"/>
      <c r="TJY290" s="3"/>
      <c r="TJZ290" s="3"/>
      <c r="TKA290" s="3"/>
      <c r="TKB290" s="3"/>
      <c r="TKC290" s="3"/>
      <c r="TKD290" s="3"/>
      <c r="TKE290" s="3"/>
      <c r="TKF290" s="3"/>
      <c r="TKG290" s="3"/>
      <c r="TKH290" s="3"/>
      <c r="TKI290" s="3"/>
      <c r="TKJ290" s="3"/>
      <c r="TKK290" s="3"/>
      <c r="TKL290" s="3"/>
      <c r="TKM290" s="3"/>
      <c r="TKN290" s="3"/>
      <c r="TKO290" s="3"/>
      <c r="TKP290" s="3"/>
      <c r="TKQ290" s="3"/>
      <c r="TKR290" s="3"/>
      <c r="TKS290" s="3"/>
      <c r="TKT290" s="3"/>
      <c r="TKU290" s="3"/>
      <c r="TKV290" s="3"/>
      <c r="TKW290" s="3"/>
      <c r="TKX290" s="3"/>
      <c r="TKY290" s="3"/>
      <c r="TKZ290" s="3"/>
      <c r="TLA290" s="3"/>
      <c r="TLB290" s="3"/>
      <c r="TLC290" s="3"/>
      <c r="TLD290" s="3"/>
      <c r="TLE290" s="3"/>
      <c r="TLF290" s="3"/>
      <c r="TLG290" s="3"/>
      <c r="TLH290" s="3"/>
      <c r="TLI290" s="3"/>
      <c r="TLJ290" s="3"/>
      <c r="TLK290" s="3"/>
      <c r="TLL290" s="3"/>
      <c r="TLM290" s="3"/>
      <c r="TLN290" s="3"/>
      <c r="TLO290" s="3"/>
      <c r="TLP290" s="3"/>
      <c r="TLQ290" s="3"/>
      <c r="TLR290" s="3"/>
      <c r="TLS290" s="3"/>
      <c r="TLT290" s="3"/>
      <c r="TLU290" s="3"/>
      <c r="TLV290" s="3"/>
      <c r="TLW290" s="3"/>
      <c r="TLX290" s="3"/>
      <c r="TLY290" s="3"/>
      <c r="TLZ290" s="3"/>
      <c r="TMA290" s="3"/>
      <c r="TMB290" s="3"/>
      <c r="TMC290" s="3"/>
      <c r="TMD290" s="3"/>
      <c r="TME290" s="3"/>
      <c r="TMF290" s="3"/>
      <c r="TMG290" s="3"/>
      <c r="TMH290" s="3"/>
      <c r="TMI290" s="3"/>
      <c r="TMJ290" s="3"/>
      <c r="TMK290" s="3"/>
      <c r="TML290" s="3"/>
      <c r="TMM290" s="3"/>
      <c r="TMN290" s="3"/>
      <c r="TMO290" s="3"/>
      <c r="TMP290" s="3"/>
      <c r="TMQ290" s="3"/>
      <c r="TMR290" s="3"/>
      <c r="TMS290" s="3"/>
      <c r="TMT290" s="3"/>
      <c r="TMU290" s="3"/>
      <c r="TMV290" s="3"/>
      <c r="TMW290" s="3"/>
      <c r="TMX290" s="3"/>
      <c r="TMY290" s="3"/>
      <c r="TMZ290" s="3"/>
      <c r="TNA290" s="3"/>
      <c r="TNB290" s="3"/>
      <c r="TNC290" s="3"/>
      <c r="TND290" s="3"/>
      <c r="TNE290" s="3"/>
      <c r="TNF290" s="3"/>
      <c r="TNG290" s="3"/>
      <c r="TNH290" s="3"/>
      <c r="TNI290" s="3"/>
      <c r="TNJ290" s="3"/>
      <c r="TNK290" s="3"/>
      <c r="TNL290" s="3"/>
      <c r="TNM290" s="3"/>
      <c r="TNN290" s="3"/>
      <c r="TNO290" s="3"/>
      <c r="TNP290" s="3"/>
      <c r="TNQ290" s="3"/>
      <c r="TNR290" s="3"/>
      <c r="TNS290" s="3"/>
      <c r="TNT290" s="3"/>
      <c r="TNU290" s="3"/>
      <c r="TNV290" s="3"/>
      <c r="TNW290" s="3"/>
      <c r="TNX290" s="3"/>
      <c r="TNY290" s="3"/>
      <c r="TNZ290" s="3"/>
      <c r="TOA290" s="3"/>
      <c r="TOB290" s="3"/>
      <c r="TOC290" s="3"/>
      <c r="TOD290" s="3"/>
      <c r="TOE290" s="3"/>
      <c r="TOF290" s="3"/>
      <c r="TOG290" s="3"/>
      <c r="TOH290" s="3"/>
      <c r="TOI290" s="3"/>
      <c r="TOJ290" s="3"/>
      <c r="TOK290" s="3"/>
      <c r="TOL290" s="3"/>
      <c r="TOM290" s="3"/>
      <c r="TON290" s="3"/>
      <c r="TOO290" s="3"/>
      <c r="TOP290" s="3"/>
      <c r="TOQ290" s="3"/>
      <c r="TOR290" s="3"/>
      <c r="TOS290" s="3"/>
      <c r="TOT290" s="3"/>
      <c r="TOU290" s="3"/>
      <c r="TOV290" s="3"/>
      <c r="TOW290" s="3"/>
      <c r="TOX290" s="3"/>
      <c r="TOY290" s="3"/>
      <c r="TOZ290" s="3"/>
      <c r="TPA290" s="3"/>
      <c r="TPB290" s="3"/>
      <c r="TPC290" s="3"/>
      <c r="TPD290" s="3"/>
      <c r="TPE290" s="3"/>
      <c r="TPF290" s="3"/>
      <c r="TPG290" s="3"/>
      <c r="TPH290" s="3"/>
      <c r="TPI290" s="3"/>
      <c r="TPJ290" s="3"/>
      <c r="TPK290" s="3"/>
      <c r="TPL290" s="3"/>
      <c r="TPM290" s="3"/>
      <c r="TPN290" s="3"/>
      <c r="TPO290" s="3"/>
      <c r="TPP290" s="3"/>
      <c r="TPQ290" s="3"/>
      <c r="TPR290" s="3"/>
      <c r="TPS290" s="3"/>
      <c r="TPT290" s="3"/>
      <c r="TPU290" s="3"/>
      <c r="TPV290" s="3"/>
      <c r="TPW290" s="3"/>
      <c r="TPX290" s="3"/>
      <c r="TPY290" s="3"/>
      <c r="TPZ290" s="3"/>
      <c r="TQA290" s="3"/>
      <c r="TQB290" s="3"/>
      <c r="TQC290" s="3"/>
      <c r="TQD290" s="3"/>
      <c r="TQE290" s="3"/>
      <c r="TQF290" s="3"/>
      <c r="TQG290" s="3"/>
      <c r="TQH290" s="3"/>
      <c r="TQI290" s="3"/>
      <c r="TQJ290" s="3"/>
      <c r="TQK290" s="3"/>
      <c r="TQL290" s="3"/>
      <c r="TQM290" s="3"/>
      <c r="TQN290" s="3"/>
      <c r="TQO290" s="3"/>
      <c r="TQP290" s="3"/>
      <c r="TQQ290" s="3"/>
      <c r="TQR290" s="3"/>
      <c r="TQS290" s="3"/>
      <c r="TQT290" s="3"/>
      <c r="TQU290" s="3"/>
      <c r="TQV290" s="3"/>
      <c r="TQW290" s="3"/>
      <c r="TQX290" s="3"/>
      <c r="TQY290" s="3"/>
      <c r="TQZ290" s="3"/>
      <c r="TRA290" s="3"/>
      <c r="TRB290" s="3"/>
      <c r="TRC290" s="3"/>
      <c r="TRD290" s="3"/>
      <c r="TRE290" s="3"/>
      <c r="TRF290" s="3"/>
      <c r="TRG290" s="3"/>
      <c r="TRH290" s="3"/>
      <c r="TRI290" s="3"/>
      <c r="TRJ290" s="3"/>
      <c r="TRK290" s="3"/>
      <c r="TRL290" s="3"/>
      <c r="TRM290" s="3"/>
      <c r="TRN290" s="3"/>
      <c r="TRO290" s="3"/>
      <c r="TRP290" s="3"/>
      <c r="TRQ290" s="3"/>
      <c r="TRR290" s="3"/>
      <c r="TRS290" s="3"/>
      <c r="TRT290" s="3"/>
      <c r="TRU290" s="3"/>
      <c r="TRV290" s="3"/>
      <c r="TRW290" s="3"/>
      <c r="TRX290" s="3"/>
      <c r="TRY290" s="3"/>
      <c r="TRZ290" s="3"/>
      <c r="TSA290" s="3"/>
      <c r="TSB290" s="3"/>
      <c r="TSC290" s="3"/>
      <c r="TSD290" s="3"/>
      <c r="TSE290" s="3"/>
      <c r="TSF290" s="3"/>
      <c r="TSG290" s="3"/>
      <c r="TSH290" s="3"/>
      <c r="TSI290" s="3"/>
      <c r="TSJ290" s="3"/>
      <c r="TSK290" s="3"/>
      <c r="TSL290" s="3"/>
      <c r="TSM290" s="3"/>
      <c r="TSN290" s="3"/>
      <c r="TSO290" s="3"/>
      <c r="TSP290" s="3"/>
      <c r="TSQ290" s="3"/>
      <c r="TSR290" s="3"/>
      <c r="TSS290" s="3"/>
      <c r="TST290" s="3"/>
      <c r="TSU290" s="3"/>
      <c r="TSV290" s="3"/>
      <c r="TSW290" s="3"/>
      <c r="TSX290" s="3"/>
      <c r="TSY290" s="3"/>
      <c r="TSZ290" s="3"/>
      <c r="TTA290" s="3"/>
      <c r="TTB290" s="3"/>
      <c r="TTC290" s="3"/>
      <c r="TTD290" s="3"/>
      <c r="TTE290" s="3"/>
      <c r="TTF290" s="3"/>
      <c r="TTG290" s="3"/>
      <c r="TTH290" s="3"/>
      <c r="TTI290" s="3"/>
      <c r="TTJ290" s="3"/>
      <c r="TTK290" s="3"/>
      <c r="TTL290" s="3"/>
      <c r="TTM290" s="3"/>
      <c r="TTN290" s="3"/>
      <c r="TTO290" s="3"/>
      <c r="TTP290" s="3"/>
      <c r="TTQ290" s="3"/>
      <c r="TTR290" s="3"/>
      <c r="TTS290" s="3"/>
      <c r="TTT290" s="3"/>
      <c r="TTU290" s="3"/>
      <c r="TTV290" s="3"/>
      <c r="TTW290" s="3"/>
      <c r="TTX290" s="3"/>
      <c r="TTY290" s="3"/>
      <c r="TTZ290" s="3"/>
      <c r="TUA290" s="3"/>
      <c r="TUB290" s="3"/>
      <c r="TUC290" s="3"/>
      <c r="TUD290" s="3"/>
      <c r="TUE290" s="3"/>
      <c r="TUF290" s="3"/>
      <c r="TUG290" s="3"/>
      <c r="TUH290" s="3"/>
      <c r="TUI290" s="3"/>
      <c r="TUJ290" s="3"/>
      <c r="TUK290" s="3"/>
      <c r="TUL290" s="3"/>
      <c r="TUM290" s="3"/>
      <c r="TUN290" s="3"/>
      <c r="TUO290" s="3"/>
      <c r="TUP290" s="3"/>
      <c r="TUQ290" s="3"/>
      <c r="TUR290" s="3"/>
      <c r="TUS290" s="3"/>
      <c r="TUT290" s="3"/>
      <c r="TUU290" s="3"/>
      <c r="TUV290" s="3"/>
      <c r="TUW290" s="3"/>
      <c r="TUX290" s="3"/>
      <c r="TUY290" s="3"/>
      <c r="TUZ290" s="3"/>
      <c r="TVA290" s="3"/>
      <c r="TVB290" s="3"/>
      <c r="TVC290" s="3"/>
      <c r="TVD290" s="3"/>
      <c r="TVE290" s="3"/>
      <c r="TVF290" s="3"/>
      <c r="TVG290" s="3"/>
      <c r="TVH290" s="3"/>
      <c r="TVI290" s="3"/>
      <c r="TVJ290" s="3"/>
      <c r="TVK290" s="3"/>
      <c r="TVL290" s="3"/>
      <c r="TVM290" s="3"/>
      <c r="TVN290" s="3"/>
      <c r="TVO290" s="3"/>
      <c r="TVP290" s="3"/>
      <c r="TVQ290" s="3"/>
      <c r="TVR290" s="3"/>
      <c r="TVS290" s="3"/>
      <c r="TVT290" s="3"/>
      <c r="TVU290" s="3"/>
      <c r="TVV290" s="3"/>
      <c r="TVW290" s="3"/>
      <c r="TVX290" s="3"/>
      <c r="TVY290" s="3"/>
      <c r="TVZ290" s="3"/>
      <c r="TWA290" s="3"/>
      <c r="TWB290" s="3"/>
      <c r="TWC290" s="3"/>
      <c r="TWD290" s="3"/>
      <c r="TWE290" s="3"/>
      <c r="TWF290" s="3"/>
      <c r="TWG290" s="3"/>
      <c r="TWH290" s="3"/>
      <c r="TWI290" s="3"/>
      <c r="TWJ290" s="3"/>
      <c r="TWK290" s="3"/>
      <c r="TWL290" s="3"/>
      <c r="TWM290" s="3"/>
      <c r="TWN290" s="3"/>
      <c r="TWO290" s="3"/>
      <c r="TWP290" s="3"/>
      <c r="TWQ290" s="3"/>
      <c r="TWR290" s="3"/>
      <c r="TWS290" s="3"/>
      <c r="TWT290" s="3"/>
      <c r="TWU290" s="3"/>
      <c r="TWV290" s="3"/>
      <c r="TWW290" s="3"/>
      <c r="TWX290" s="3"/>
      <c r="TWY290" s="3"/>
      <c r="TWZ290" s="3"/>
      <c r="TXA290" s="3"/>
      <c r="TXB290" s="3"/>
      <c r="TXC290" s="3"/>
      <c r="TXD290" s="3"/>
      <c r="TXE290" s="3"/>
      <c r="TXF290" s="3"/>
      <c r="TXG290" s="3"/>
      <c r="TXH290" s="3"/>
      <c r="TXI290" s="3"/>
      <c r="TXJ290" s="3"/>
      <c r="TXK290" s="3"/>
      <c r="TXL290" s="3"/>
      <c r="TXM290" s="3"/>
      <c r="TXN290" s="3"/>
      <c r="TXO290" s="3"/>
      <c r="TXP290" s="3"/>
      <c r="TXQ290" s="3"/>
      <c r="TXR290" s="3"/>
      <c r="TXS290" s="3"/>
      <c r="TXT290" s="3"/>
      <c r="TXU290" s="3"/>
      <c r="TXV290" s="3"/>
      <c r="TXW290" s="3"/>
      <c r="TXX290" s="3"/>
      <c r="TXY290" s="3"/>
      <c r="TXZ290" s="3"/>
      <c r="TYA290" s="3"/>
      <c r="TYB290" s="3"/>
      <c r="TYC290" s="3"/>
      <c r="TYD290" s="3"/>
      <c r="TYE290" s="3"/>
      <c r="TYF290" s="3"/>
      <c r="TYG290" s="3"/>
      <c r="TYH290" s="3"/>
      <c r="TYI290" s="3"/>
      <c r="TYJ290" s="3"/>
      <c r="TYK290" s="3"/>
      <c r="TYL290" s="3"/>
      <c r="TYM290" s="3"/>
      <c r="TYN290" s="3"/>
      <c r="TYO290" s="3"/>
      <c r="TYP290" s="3"/>
      <c r="TYQ290" s="3"/>
      <c r="TYR290" s="3"/>
      <c r="TYS290" s="3"/>
      <c r="TYT290" s="3"/>
      <c r="TYU290" s="3"/>
      <c r="TYV290" s="3"/>
      <c r="TYW290" s="3"/>
      <c r="TYX290" s="3"/>
      <c r="TYY290" s="3"/>
      <c r="TYZ290" s="3"/>
      <c r="TZA290" s="3"/>
      <c r="TZB290" s="3"/>
      <c r="TZC290" s="3"/>
      <c r="TZD290" s="3"/>
      <c r="TZE290" s="3"/>
      <c r="TZF290" s="3"/>
      <c r="TZG290" s="3"/>
      <c r="TZH290" s="3"/>
      <c r="TZI290" s="3"/>
      <c r="TZJ290" s="3"/>
      <c r="TZK290" s="3"/>
      <c r="TZL290" s="3"/>
      <c r="TZM290" s="3"/>
      <c r="TZN290" s="3"/>
      <c r="TZO290" s="3"/>
      <c r="TZP290" s="3"/>
      <c r="TZQ290" s="3"/>
      <c r="TZR290" s="3"/>
      <c r="TZS290" s="3"/>
      <c r="TZT290" s="3"/>
      <c r="TZU290" s="3"/>
      <c r="TZV290" s="3"/>
      <c r="TZW290" s="3"/>
      <c r="TZX290" s="3"/>
      <c r="TZY290" s="3"/>
      <c r="TZZ290" s="3"/>
      <c r="UAA290" s="3"/>
      <c r="UAB290" s="3"/>
      <c r="UAC290" s="3"/>
      <c r="UAD290" s="3"/>
      <c r="UAE290" s="3"/>
      <c r="UAF290" s="3"/>
      <c r="UAG290" s="3"/>
      <c r="UAH290" s="3"/>
      <c r="UAI290" s="3"/>
      <c r="UAJ290" s="3"/>
      <c r="UAK290" s="3"/>
      <c r="UAL290" s="3"/>
      <c r="UAM290" s="3"/>
      <c r="UAN290" s="3"/>
      <c r="UAO290" s="3"/>
      <c r="UAP290" s="3"/>
      <c r="UAQ290" s="3"/>
      <c r="UAR290" s="3"/>
      <c r="UAS290" s="3"/>
      <c r="UAT290" s="3"/>
      <c r="UAU290" s="3"/>
      <c r="UAV290" s="3"/>
      <c r="UAW290" s="3"/>
      <c r="UAX290" s="3"/>
      <c r="UAY290" s="3"/>
      <c r="UAZ290" s="3"/>
      <c r="UBA290" s="3"/>
      <c r="UBB290" s="3"/>
      <c r="UBC290" s="3"/>
      <c r="UBD290" s="3"/>
      <c r="UBE290" s="3"/>
      <c r="UBF290" s="3"/>
      <c r="UBG290" s="3"/>
      <c r="UBH290" s="3"/>
      <c r="UBI290" s="3"/>
      <c r="UBJ290" s="3"/>
      <c r="UBK290" s="3"/>
      <c r="UBL290" s="3"/>
      <c r="UBM290" s="3"/>
      <c r="UBN290" s="3"/>
      <c r="UBO290" s="3"/>
      <c r="UBP290" s="3"/>
      <c r="UBQ290" s="3"/>
      <c r="UBR290" s="3"/>
      <c r="UBS290" s="3"/>
      <c r="UBT290" s="3"/>
      <c r="UBU290" s="3"/>
      <c r="UBV290" s="3"/>
      <c r="UBW290" s="3"/>
      <c r="UBX290" s="3"/>
      <c r="UBY290" s="3"/>
      <c r="UBZ290" s="3"/>
      <c r="UCA290" s="3"/>
      <c r="UCB290" s="3"/>
      <c r="UCC290" s="3"/>
      <c r="UCD290" s="3"/>
      <c r="UCE290" s="3"/>
      <c r="UCF290" s="3"/>
      <c r="UCG290" s="3"/>
      <c r="UCH290" s="3"/>
      <c r="UCI290" s="3"/>
      <c r="UCJ290" s="3"/>
      <c r="UCK290" s="3"/>
      <c r="UCL290" s="3"/>
      <c r="UCM290" s="3"/>
      <c r="UCN290" s="3"/>
      <c r="UCO290" s="3"/>
      <c r="UCP290" s="3"/>
      <c r="UCQ290" s="3"/>
      <c r="UCR290" s="3"/>
      <c r="UCS290" s="3"/>
      <c r="UCT290" s="3"/>
      <c r="UCU290" s="3"/>
      <c r="UCV290" s="3"/>
      <c r="UCW290" s="3"/>
      <c r="UCX290" s="3"/>
      <c r="UCY290" s="3"/>
      <c r="UCZ290" s="3"/>
      <c r="UDA290" s="3"/>
      <c r="UDB290" s="3"/>
      <c r="UDC290" s="3"/>
      <c r="UDD290" s="3"/>
      <c r="UDE290" s="3"/>
      <c r="UDF290" s="3"/>
      <c r="UDG290" s="3"/>
      <c r="UDH290" s="3"/>
      <c r="UDI290" s="3"/>
      <c r="UDJ290" s="3"/>
      <c r="UDK290" s="3"/>
      <c r="UDL290" s="3"/>
      <c r="UDM290" s="3"/>
      <c r="UDN290" s="3"/>
      <c r="UDO290" s="3"/>
      <c r="UDP290" s="3"/>
      <c r="UDQ290" s="3"/>
      <c r="UDR290" s="3"/>
      <c r="UDS290" s="3"/>
      <c r="UDT290" s="3"/>
      <c r="UDU290" s="3"/>
      <c r="UDV290" s="3"/>
      <c r="UDW290" s="3"/>
      <c r="UDX290" s="3"/>
      <c r="UDY290" s="3"/>
      <c r="UDZ290" s="3"/>
      <c r="UEA290" s="3"/>
      <c r="UEB290" s="3"/>
      <c r="UEC290" s="3"/>
      <c r="UED290" s="3"/>
      <c r="UEE290" s="3"/>
      <c r="UEF290" s="3"/>
      <c r="UEG290" s="3"/>
      <c r="UEH290" s="3"/>
      <c r="UEI290" s="3"/>
      <c r="UEJ290" s="3"/>
      <c r="UEK290" s="3"/>
      <c r="UEL290" s="3"/>
      <c r="UEM290" s="3"/>
      <c r="UEN290" s="3"/>
      <c r="UEO290" s="3"/>
      <c r="UEP290" s="3"/>
      <c r="UEQ290" s="3"/>
      <c r="UER290" s="3"/>
      <c r="UES290" s="3"/>
      <c r="UET290" s="3"/>
      <c r="UEU290" s="3"/>
      <c r="UEV290" s="3"/>
      <c r="UEW290" s="3"/>
      <c r="UEX290" s="3"/>
      <c r="UEY290" s="3"/>
      <c r="UEZ290" s="3"/>
      <c r="UFA290" s="3"/>
      <c r="UFB290" s="3"/>
      <c r="UFC290" s="3"/>
      <c r="UFD290" s="3"/>
      <c r="UFE290" s="3"/>
      <c r="UFF290" s="3"/>
      <c r="UFG290" s="3"/>
      <c r="UFH290" s="3"/>
      <c r="UFI290" s="3"/>
      <c r="UFJ290" s="3"/>
      <c r="UFK290" s="3"/>
      <c r="UFL290" s="3"/>
      <c r="UFM290" s="3"/>
      <c r="UFN290" s="3"/>
      <c r="UFO290" s="3"/>
      <c r="UFP290" s="3"/>
      <c r="UFQ290" s="3"/>
      <c r="UFR290" s="3"/>
      <c r="UFS290" s="3"/>
      <c r="UFT290" s="3"/>
      <c r="UFU290" s="3"/>
      <c r="UFV290" s="3"/>
      <c r="UFW290" s="3"/>
      <c r="UFX290" s="3"/>
      <c r="UFY290" s="3"/>
      <c r="UFZ290" s="3"/>
      <c r="UGA290" s="3"/>
      <c r="UGB290" s="3"/>
      <c r="UGC290" s="3"/>
      <c r="UGD290" s="3"/>
      <c r="UGE290" s="3"/>
      <c r="UGF290" s="3"/>
      <c r="UGG290" s="3"/>
      <c r="UGH290" s="3"/>
      <c r="UGI290" s="3"/>
      <c r="UGJ290" s="3"/>
      <c r="UGK290" s="3"/>
      <c r="UGL290" s="3"/>
      <c r="UGM290" s="3"/>
      <c r="UGN290" s="3"/>
      <c r="UGO290" s="3"/>
      <c r="UGP290" s="3"/>
      <c r="UGQ290" s="3"/>
      <c r="UGR290" s="3"/>
      <c r="UGS290" s="3"/>
      <c r="UGT290" s="3"/>
      <c r="UGU290" s="3"/>
      <c r="UGV290" s="3"/>
      <c r="UGW290" s="3"/>
      <c r="UGX290" s="3"/>
      <c r="UGY290" s="3"/>
      <c r="UGZ290" s="3"/>
      <c r="UHA290" s="3"/>
      <c r="UHB290" s="3"/>
      <c r="UHC290" s="3"/>
      <c r="UHD290" s="3"/>
      <c r="UHE290" s="3"/>
      <c r="UHF290" s="3"/>
      <c r="UHG290" s="3"/>
      <c r="UHH290" s="3"/>
      <c r="UHI290" s="3"/>
      <c r="UHJ290" s="3"/>
      <c r="UHK290" s="3"/>
      <c r="UHL290" s="3"/>
      <c r="UHM290" s="3"/>
      <c r="UHN290" s="3"/>
      <c r="UHO290" s="3"/>
      <c r="UHP290" s="3"/>
      <c r="UHQ290" s="3"/>
      <c r="UHR290" s="3"/>
      <c r="UHS290" s="3"/>
      <c r="UHT290" s="3"/>
      <c r="UHU290" s="3"/>
      <c r="UHV290" s="3"/>
      <c r="UHW290" s="3"/>
      <c r="UHX290" s="3"/>
      <c r="UHY290" s="3"/>
      <c r="UHZ290" s="3"/>
      <c r="UIA290" s="3"/>
      <c r="UIB290" s="3"/>
      <c r="UIC290" s="3"/>
      <c r="UID290" s="3"/>
      <c r="UIE290" s="3"/>
      <c r="UIF290" s="3"/>
      <c r="UIG290" s="3"/>
      <c r="UIH290" s="3"/>
      <c r="UII290" s="3"/>
      <c r="UIJ290" s="3"/>
      <c r="UIK290" s="3"/>
      <c r="UIL290" s="3"/>
      <c r="UIM290" s="3"/>
      <c r="UIN290" s="3"/>
      <c r="UIO290" s="3"/>
      <c r="UIP290" s="3"/>
      <c r="UIQ290" s="3"/>
      <c r="UIR290" s="3"/>
      <c r="UIS290" s="3"/>
      <c r="UIT290" s="3"/>
      <c r="UIU290" s="3"/>
      <c r="UIV290" s="3"/>
      <c r="UIW290" s="3"/>
      <c r="UIX290" s="3"/>
      <c r="UIY290" s="3"/>
      <c r="UIZ290" s="3"/>
      <c r="UJA290" s="3"/>
      <c r="UJB290" s="3"/>
      <c r="UJC290" s="3"/>
      <c r="UJD290" s="3"/>
      <c r="UJE290" s="3"/>
      <c r="UJF290" s="3"/>
      <c r="UJG290" s="3"/>
      <c r="UJH290" s="3"/>
      <c r="UJI290" s="3"/>
      <c r="UJJ290" s="3"/>
      <c r="UJK290" s="3"/>
      <c r="UJL290" s="3"/>
      <c r="UJM290" s="3"/>
      <c r="UJN290" s="3"/>
      <c r="UJO290" s="3"/>
      <c r="UJP290" s="3"/>
      <c r="UJQ290" s="3"/>
      <c r="UJR290" s="3"/>
      <c r="UJS290" s="3"/>
      <c r="UJT290" s="3"/>
      <c r="UJU290" s="3"/>
      <c r="UJV290" s="3"/>
      <c r="UJW290" s="3"/>
      <c r="UJX290" s="3"/>
      <c r="UJY290" s="3"/>
      <c r="UJZ290" s="3"/>
      <c r="UKA290" s="3"/>
      <c r="UKB290" s="3"/>
      <c r="UKC290" s="3"/>
      <c r="UKD290" s="3"/>
      <c r="UKE290" s="3"/>
      <c r="UKF290" s="3"/>
      <c r="UKG290" s="3"/>
      <c r="UKH290" s="3"/>
      <c r="UKI290" s="3"/>
      <c r="UKJ290" s="3"/>
      <c r="UKK290" s="3"/>
      <c r="UKL290" s="3"/>
      <c r="UKM290" s="3"/>
      <c r="UKN290" s="3"/>
      <c r="UKO290" s="3"/>
      <c r="UKP290" s="3"/>
      <c r="UKQ290" s="3"/>
      <c r="UKR290" s="3"/>
      <c r="UKS290" s="3"/>
      <c r="UKT290" s="3"/>
      <c r="UKU290" s="3"/>
      <c r="UKV290" s="3"/>
      <c r="UKW290" s="3"/>
      <c r="UKX290" s="3"/>
      <c r="UKY290" s="3"/>
      <c r="UKZ290" s="3"/>
      <c r="ULA290" s="3"/>
      <c r="ULB290" s="3"/>
      <c r="ULC290" s="3"/>
      <c r="ULD290" s="3"/>
      <c r="ULE290" s="3"/>
      <c r="ULF290" s="3"/>
      <c r="ULG290" s="3"/>
      <c r="ULH290" s="3"/>
      <c r="ULI290" s="3"/>
      <c r="ULJ290" s="3"/>
      <c r="ULK290" s="3"/>
      <c r="ULL290" s="3"/>
      <c r="ULM290" s="3"/>
      <c r="ULN290" s="3"/>
      <c r="ULO290" s="3"/>
      <c r="ULP290" s="3"/>
      <c r="ULQ290" s="3"/>
      <c r="ULR290" s="3"/>
      <c r="ULS290" s="3"/>
      <c r="ULT290" s="3"/>
      <c r="ULU290" s="3"/>
      <c r="ULV290" s="3"/>
      <c r="ULW290" s="3"/>
      <c r="ULX290" s="3"/>
      <c r="ULY290" s="3"/>
      <c r="ULZ290" s="3"/>
      <c r="UMA290" s="3"/>
      <c r="UMB290" s="3"/>
      <c r="UMC290" s="3"/>
      <c r="UMD290" s="3"/>
      <c r="UME290" s="3"/>
      <c r="UMF290" s="3"/>
      <c r="UMG290" s="3"/>
      <c r="UMH290" s="3"/>
      <c r="UMI290" s="3"/>
      <c r="UMJ290" s="3"/>
      <c r="UMK290" s="3"/>
      <c r="UML290" s="3"/>
      <c r="UMM290" s="3"/>
      <c r="UMN290" s="3"/>
      <c r="UMO290" s="3"/>
      <c r="UMP290" s="3"/>
      <c r="UMQ290" s="3"/>
      <c r="UMR290" s="3"/>
      <c r="UMS290" s="3"/>
      <c r="UMT290" s="3"/>
      <c r="UMU290" s="3"/>
      <c r="UMV290" s="3"/>
      <c r="UMW290" s="3"/>
      <c r="UMX290" s="3"/>
      <c r="UMY290" s="3"/>
      <c r="UMZ290" s="3"/>
      <c r="UNA290" s="3"/>
      <c r="UNB290" s="3"/>
      <c r="UNC290" s="3"/>
      <c r="UND290" s="3"/>
      <c r="UNE290" s="3"/>
      <c r="UNF290" s="3"/>
      <c r="UNG290" s="3"/>
      <c r="UNH290" s="3"/>
      <c r="UNI290" s="3"/>
      <c r="UNJ290" s="3"/>
      <c r="UNK290" s="3"/>
      <c r="UNL290" s="3"/>
      <c r="UNM290" s="3"/>
      <c r="UNN290" s="3"/>
      <c r="UNO290" s="3"/>
      <c r="UNP290" s="3"/>
      <c r="UNQ290" s="3"/>
      <c r="UNR290" s="3"/>
      <c r="UNS290" s="3"/>
      <c r="UNT290" s="3"/>
      <c r="UNU290" s="3"/>
      <c r="UNV290" s="3"/>
      <c r="UNW290" s="3"/>
      <c r="UNX290" s="3"/>
      <c r="UNY290" s="3"/>
      <c r="UNZ290" s="3"/>
      <c r="UOA290" s="3"/>
      <c r="UOB290" s="3"/>
      <c r="UOC290" s="3"/>
      <c r="UOD290" s="3"/>
      <c r="UOE290" s="3"/>
      <c r="UOF290" s="3"/>
      <c r="UOG290" s="3"/>
      <c r="UOH290" s="3"/>
      <c r="UOI290" s="3"/>
      <c r="UOJ290" s="3"/>
      <c r="UOK290" s="3"/>
      <c r="UOL290" s="3"/>
      <c r="UOM290" s="3"/>
      <c r="UON290" s="3"/>
      <c r="UOO290" s="3"/>
      <c r="UOP290" s="3"/>
      <c r="UOQ290" s="3"/>
      <c r="UOR290" s="3"/>
      <c r="UOS290" s="3"/>
      <c r="UOT290" s="3"/>
      <c r="UOU290" s="3"/>
      <c r="UOV290" s="3"/>
      <c r="UOW290" s="3"/>
      <c r="UOX290" s="3"/>
      <c r="UOY290" s="3"/>
      <c r="UOZ290" s="3"/>
      <c r="UPA290" s="3"/>
      <c r="UPB290" s="3"/>
      <c r="UPC290" s="3"/>
      <c r="UPD290" s="3"/>
      <c r="UPE290" s="3"/>
      <c r="UPF290" s="3"/>
      <c r="UPG290" s="3"/>
      <c r="UPH290" s="3"/>
      <c r="UPI290" s="3"/>
      <c r="UPJ290" s="3"/>
      <c r="UPK290" s="3"/>
      <c r="UPL290" s="3"/>
      <c r="UPM290" s="3"/>
      <c r="UPN290" s="3"/>
      <c r="UPO290" s="3"/>
      <c r="UPP290" s="3"/>
      <c r="UPQ290" s="3"/>
      <c r="UPR290" s="3"/>
      <c r="UPS290" s="3"/>
      <c r="UPT290" s="3"/>
      <c r="UPU290" s="3"/>
      <c r="UPV290" s="3"/>
      <c r="UPW290" s="3"/>
      <c r="UPX290" s="3"/>
      <c r="UPY290" s="3"/>
      <c r="UPZ290" s="3"/>
      <c r="UQA290" s="3"/>
      <c r="UQB290" s="3"/>
      <c r="UQC290" s="3"/>
      <c r="UQD290" s="3"/>
      <c r="UQE290" s="3"/>
      <c r="UQF290" s="3"/>
      <c r="UQG290" s="3"/>
      <c r="UQH290" s="3"/>
      <c r="UQI290" s="3"/>
      <c r="UQJ290" s="3"/>
      <c r="UQK290" s="3"/>
      <c r="UQL290" s="3"/>
      <c r="UQM290" s="3"/>
      <c r="UQN290" s="3"/>
      <c r="UQO290" s="3"/>
      <c r="UQP290" s="3"/>
      <c r="UQQ290" s="3"/>
      <c r="UQR290" s="3"/>
      <c r="UQS290" s="3"/>
      <c r="UQT290" s="3"/>
      <c r="UQU290" s="3"/>
      <c r="UQV290" s="3"/>
      <c r="UQW290" s="3"/>
      <c r="UQX290" s="3"/>
      <c r="UQY290" s="3"/>
      <c r="UQZ290" s="3"/>
      <c r="URA290" s="3"/>
      <c r="URB290" s="3"/>
      <c r="URC290" s="3"/>
      <c r="URD290" s="3"/>
      <c r="URE290" s="3"/>
      <c r="URF290" s="3"/>
      <c r="URG290" s="3"/>
      <c r="URH290" s="3"/>
      <c r="URI290" s="3"/>
      <c r="URJ290" s="3"/>
      <c r="URK290" s="3"/>
      <c r="URL290" s="3"/>
      <c r="URM290" s="3"/>
      <c r="URN290" s="3"/>
      <c r="URO290" s="3"/>
      <c r="URP290" s="3"/>
      <c r="URQ290" s="3"/>
      <c r="URR290" s="3"/>
      <c r="URS290" s="3"/>
      <c r="URT290" s="3"/>
      <c r="URU290" s="3"/>
      <c r="URV290" s="3"/>
      <c r="URW290" s="3"/>
      <c r="URX290" s="3"/>
      <c r="URY290" s="3"/>
      <c r="URZ290" s="3"/>
      <c r="USA290" s="3"/>
      <c r="USB290" s="3"/>
      <c r="USC290" s="3"/>
      <c r="USD290" s="3"/>
      <c r="USE290" s="3"/>
      <c r="USF290" s="3"/>
      <c r="USG290" s="3"/>
      <c r="USH290" s="3"/>
      <c r="USI290" s="3"/>
      <c r="USJ290" s="3"/>
      <c r="USK290" s="3"/>
      <c r="USL290" s="3"/>
      <c r="USM290" s="3"/>
      <c r="USN290" s="3"/>
      <c r="USO290" s="3"/>
      <c r="USP290" s="3"/>
      <c r="USQ290" s="3"/>
      <c r="USR290" s="3"/>
      <c r="USS290" s="3"/>
      <c r="UST290" s="3"/>
      <c r="USU290" s="3"/>
      <c r="USV290" s="3"/>
      <c r="USW290" s="3"/>
      <c r="USX290" s="3"/>
      <c r="USY290" s="3"/>
      <c r="USZ290" s="3"/>
      <c r="UTA290" s="3"/>
      <c r="UTB290" s="3"/>
      <c r="UTC290" s="3"/>
      <c r="UTD290" s="3"/>
      <c r="UTE290" s="3"/>
      <c r="UTF290" s="3"/>
      <c r="UTG290" s="3"/>
      <c r="UTH290" s="3"/>
      <c r="UTI290" s="3"/>
      <c r="UTJ290" s="3"/>
      <c r="UTK290" s="3"/>
      <c r="UTL290" s="3"/>
      <c r="UTM290" s="3"/>
      <c r="UTN290" s="3"/>
      <c r="UTO290" s="3"/>
      <c r="UTP290" s="3"/>
      <c r="UTQ290" s="3"/>
      <c r="UTR290" s="3"/>
      <c r="UTS290" s="3"/>
      <c r="UTT290" s="3"/>
      <c r="UTU290" s="3"/>
      <c r="UTV290" s="3"/>
      <c r="UTW290" s="3"/>
      <c r="UTX290" s="3"/>
      <c r="UTY290" s="3"/>
      <c r="UTZ290" s="3"/>
      <c r="UUA290" s="3"/>
      <c r="UUB290" s="3"/>
      <c r="UUC290" s="3"/>
      <c r="UUD290" s="3"/>
      <c r="UUE290" s="3"/>
      <c r="UUF290" s="3"/>
      <c r="UUG290" s="3"/>
      <c r="UUH290" s="3"/>
      <c r="UUI290" s="3"/>
      <c r="UUJ290" s="3"/>
      <c r="UUK290" s="3"/>
      <c r="UUL290" s="3"/>
      <c r="UUM290" s="3"/>
      <c r="UUN290" s="3"/>
      <c r="UUO290" s="3"/>
      <c r="UUP290" s="3"/>
      <c r="UUQ290" s="3"/>
      <c r="UUR290" s="3"/>
      <c r="UUS290" s="3"/>
      <c r="UUT290" s="3"/>
      <c r="UUU290" s="3"/>
      <c r="UUV290" s="3"/>
      <c r="UUW290" s="3"/>
      <c r="UUX290" s="3"/>
      <c r="UUY290" s="3"/>
      <c r="UUZ290" s="3"/>
      <c r="UVA290" s="3"/>
      <c r="UVB290" s="3"/>
      <c r="UVC290" s="3"/>
      <c r="UVD290" s="3"/>
      <c r="UVE290" s="3"/>
      <c r="UVF290" s="3"/>
      <c r="UVG290" s="3"/>
      <c r="UVH290" s="3"/>
      <c r="UVI290" s="3"/>
      <c r="UVJ290" s="3"/>
      <c r="UVK290" s="3"/>
      <c r="UVL290" s="3"/>
      <c r="UVM290" s="3"/>
      <c r="UVN290" s="3"/>
      <c r="UVO290" s="3"/>
      <c r="UVP290" s="3"/>
      <c r="UVQ290" s="3"/>
      <c r="UVR290" s="3"/>
      <c r="UVS290" s="3"/>
      <c r="UVT290" s="3"/>
      <c r="UVU290" s="3"/>
      <c r="UVV290" s="3"/>
      <c r="UVW290" s="3"/>
      <c r="UVX290" s="3"/>
      <c r="UVY290" s="3"/>
      <c r="UVZ290" s="3"/>
      <c r="UWA290" s="3"/>
      <c r="UWB290" s="3"/>
      <c r="UWC290" s="3"/>
      <c r="UWD290" s="3"/>
      <c r="UWE290" s="3"/>
      <c r="UWF290" s="3"/>
      <c r="UWG290" s="3"/>
      <c r="UWH290" s="3"/>
      <c r="UWI290" s="3"/>
      <c r="UWJ290" s="3"/>
      <c r="UWK290" s="3"/>
      <c r="UWL290" s="3"/>
      <c r="UWM290" s="3"/>
      <c r="UWN290" s="3"/>
      <c r="UWO290" s="3"/>
      <c r="UWP290" s="3"/>
      <c r="UWQ290" s="3"/>
      <c r="UWR290" s="3"/>
      <c r="UWS290" s="3"/>
      <c r="UWT290" s="3"/>
      <c r="UWU290" s="3"/>
      <c r="UWV290" s="3"/>
      <c r="UWW290" s="3"/>
      <c r="UWX290" s="3"/>
      <c r="UWY290" s="3"/>
      <c r="UWZ290" s="3"/>
      <c r="UXA290" s="3"/>
      <c r="UXB290" s="3"/>
      <c r="UXC290" s="3"/>
      <c r="UXD290" s="3"/>
      <c r="UXE290" s="3"/>
      <c r="UXF290" s="3"/>
      <c r="UXG290" s="3"/>
      <c r="UXH290" s="3"/>
      <c r="UXI290" s="3"/>
      <c r="UXJ290" s="3"/>
      <c r="UXK290" s="3"/>
      <c r="UXL290" s="3"/>
      <c r="UXM290" s="3"/>
      <c r="UXN290" s="3"/>
      <c r="UXO290" s="3"/>
      <c r="UXP290" s="3"/>
      <c r="UXQ290" s="3"/>
      <c r="UXR290" s="3"/>
      <c r="UXS290" s="3"/>
      <c r="UXT290" s="3"/>
      <c r="UXU290" s="3"/>
      <c r="UXV290" s="3"/>
      <c r="UXW290" s="3"/>
      <c r="UXX290" s="3"/>
      <c r="UXY290" s="3"/>
      <c r="UXZ290" s="3"/>
      <c r="UYA290" s="3"/>
      <c r="UYB290" s="3"/>
      <c r="UYC290" s="3"/>
      <c r="UYD290" s="3"/>
      <c r="UYE290" s="3"/>
      <c r="UYF290" s="3"/>
      <c r="UYG290" s="3"/>
      <c r="UYH290" s="3"/>
      <c r="UYI290" s="3"/>
      <c r="UYJ290" s="3"/>
      <c r="UYK290" s="3"/>
      <c r="UYL290" s="3"/>
      <c r="UYM290" s="3"/>
      <c r="UYN290" s="3"/>
      <c r="UYO290" s="3"/>
      <c r="UYP290" s="3"/>
      <c r="UYQ290" s="3"/>
      <c r="UYR290" s="3"/>
      <c r="UYS290" s="3"/>
      <c r="UYT290" s="3"/>
      <c r="UYU290" s="3"/>
      <c r="UYV290" s="3"/>
      <c r="UYW290" s="3"/>
      <c r="UYX290" s="3"/>
      <c r="UYY290" s="3"/>
      <c r="UYZ290" s="3"/>
      <c r="UZA290" s="3"/>
      <c r="UZB290" s="3"/>
      <c r="UZC290" s="3"/>
      <c r="UZD290" s="3"/>
      <c r="UZE290" s="3"/>
      <c r="UZF290" s="3"/>
      <c r="UZG290" s="3"/>
      <c r="UZH290" s="3"/>
      <c r="UZI290" s="3"/>
      <c r="UZJ290" s="3"/>
      <c r="UZK290" s="3"/>
      <c r="UZL290" s="3"/>
      <c r="UZM290" s="3"/>
      <c r="UZN290" s="3"/>
      <c r="UZO290" s="3"/>
      <c r="UZP290" s="3"/>
      <c r="UZQ290" s="3"/>
      <c r="UZR290" s="3"/>
      <c r="UZS290" s="3"/>
      <c r="UZT290" s="3"/>
      <c r="UZU290" s="3"/>
      <c r="UZV290" s="3"/>
      <c r="UZW290" s="3"/>
      <c r="UZX290" s="3"/>
      <c r="UZY290" s="3"/>
      <c r="UZZ290" s="3"/>
      <c r="VAA290" s="3"/>
      <c r="VAB290" s="3"/>
      <c r="VAC290" s="3"/>
      <c r="VAD290" s="3"/>
      <c r="VAE290" s="3"/>
      <c r="VAF290" s="3"/>
      <c r="VAG290" s="3"/>
      <c r="VAH290" s="3"/>
      <c r="VAI290" s="3"/>
      <c r="VAJ290" s="3"/>
      <c r="VAK290" s="3"/>
      <c r="VAL290" s="3"/>
      <c r="VAM290" s="3"/>
      <c r="VAN290" s="3"/>
      <c r="VAO290" s="3"/>
      <c r="VAP290" s="3"/>
      <c r="VAQ290" s="3"/>
      <c r="VAR290" s="3"/>
      <c r="VAS290" s="3"/>
      <c r="VAT290" s="3"/>
      <c r="VAU290" s="3"/>
      <c r="VAV290" s="3"/>
      <c r="VAW290" s="3"/>
      <c r="VAX290" s="3"/>
      <c r="VAY290" s="3"/>
      <c r="VAZ290" s="3"/>
      <c r="VBA290" s="3"/>
      <c r="VBB290" s="3"/>
      <c r="VBC290" s="3"/>
      <c r="VBD290" s="3"/>
      <c r="VBE290" s="3"/>
      <c r="VBF290" s="3"/>
      <c r="VBG290" s="3"/>
      <c r="VBH290" s="3"/>
      <c r="VBI290" s="3"/>
      <c r="VBJ290" s="3"/>
      <c r="VBK290" s="3"/>
      <c r="VBL290" s="3"/>
      <c r="VBM290" s="3"/>
      <c r="VBN290" s="3"/>
      <c r="VBO290" s="3"/>
      <c r="VBP290" s="3"/>
      <c r="VBQ290" s="3"/>
      <c r="VBR290" s="3"/>
      <c r="VBS290" s="3"/>
      <c r="VBT290" s="3"/>
      <c r="VBU290" s="3"/>
      <c r="VBV290" s="3"/>
      <c r="VBW290" s="3"/>
      <c r="VBX290" s="3"/>
      <c r="VBY290" s="3"/>
      <c r="VBZ290" s="3"/>
      <c r="VCA290" s="3"/>
      <c r="VCB290" s="3"/>
      <c r="VCC290" s="3"/>
      <c r="VCD290" s="3"/>
      <c r="VCE290" s="3"/>
      <c r="VCF290" s="3"/>
      <c r="VCG290" s="3"/>
      <c r="VCH290" s="3"/>
      <c r="VCI290" s="3"/>
      <c r="VCJ290" s="3"/>
      <c r="VCK290" s="3"/>
      <c r="VCL290" s="3"/>
      <c r="VCM290" s="3"/>
      <c r="VCN290" s="3"/>
      <c r="VCO290" s="3"/>
      <c r="VCP290" s="3"/>
      <c r="VCQ290" s="3"/>
      <c r="VCR290" s="3"/>
      <c r="VCS290" s="3"/>
      <c r="VCT290" s="3"/>
      <c r="VCU290" s="3"/>
      <c r="VCV290" s="3"/>
      <c r="VCW290" s="3"/>
      <c r="VCX290" s="3"/>
      <c r="VCY290" s="3"/>
      <c r="VCZ290" s="3"/>
      <c r="VDA290" s="3"/>
      <c r="VDB290" s="3"/>
      <c r="VDC290" s="3"/>
      <c r="VDD290" s="3"/>
      <c r="VDE290" s="3"/>
      <c r="VDF290" s="3"/>
      <c r="VDG290" s="3"/>
      <c r="VDH290" s="3"/>
      <c r="VDI290" s="3"/>
      <c r="VDJ290" s="3"/>
      <c r="VDK290" s="3"/>
      <c r="VDL290" s="3"/>
      <c r="VDM290" s="3"/>
      <c r="VDN290" s="3"/>
      <c r="VDO290" s="3"/>
      <c r="VDP290" s="3"/>
      <c r="VDQ290" s="3"/>
      <c r="VDR290" s="3"/>
      <c r="VDS290" s="3"/>
      <c r="VDT290" s="3"/>
      <c r="VDU290" s="3"/>
      <c r="VDV290" s="3"/>
      <c r="VDW290" s="3"/>
      <c r="VDX290" s="3"/>
      <c r="VDY290" s="3"/>
      <c r="VDZ290" s="3"/>
      <c r="VEA290" s="3"/>
      <c r="VEB290" s="3"/>
      <c r="VEC290" s="3"/>
      <c r="VED290" s="3"/>
      <c r="VEE290" s="3"/>
      <c r="VEF290" s="3"/>
      <c r="VEG290" s="3"/>
      <c r="VEH290" s="3"/>
      <c r="VEI290" s="3"/>
      <c r="VEJ290" s="3"/>
      <c r="VEK290" s="3"/>
      <c r="VEL290" s="3"/>
      <c r="VEM290" s="3"/>
      <c r="VEN290" s="3"/>
      <c r="VEO290" s="3"/>
      <c r="VEP290" s="3"/>
      <c r="VEQ290" s="3"/>
      <c r="VER290" s="3"/>
      <c r="VES290" s="3"/>
      <c r="VET290" s="3"/>
      <c r="VEU290" s="3"/>
      <c r="VEV290" s="3"/>
      <c r="VEW290" s="3"/>
      <c r="VEX290" s="3"/>
      <c r="VEY290" s="3"/>
      <c r="VEZ290" s="3"/>
      <c r="VFA290" s="3"/>
      <c r="VFB290" s="3"/>
      <c r="VFC290" s="3"/>
      <c r="VFD290" s="3"/>
      <c r="VFE290" s="3"/>
      <c r="VFF290" s="3"/>
      <c r="VFG290" s="3"/>
      <c r="VFH290" s="3"/>
      <c r="VFI290" s="3"/>
      <c r="VFJ290" s="3"/>
      <c r="VFK290" s="3"/>
      <c r="VFL290" s="3"/>
      <c r="VFM290" s="3"/>
      <c r="VFN290" s="3"/>
      <c r="VFO290" s="3"/>
      <c r="VFP290" s="3"/>
      <c r="VFQ290" s="3"/>
      <c r="VFR290" s="3"/>
      <c r="VFS290" s="3"/>
      <c r="VFT290" s="3"/>
      <c r="VFU290" s="3"/>
      <c r="VFV290" s="3"/>
      <c r="VFW290" s="3"/>
      <c r="VFX290" s="3"/>
      <c r="VFY290" s="3"/>
      <c r="VFZ290" s="3"/>
      <c r="VGA290" s="3"/>
      <c r="VGB290" s="3"/>
      <c r="VGC290" s="3"/>
      <c r="VGD290" s="3"/>
      <c r="VGE290" s="3"/>
      <c r="VGF290" s="3"/>
      <c r="VGG290" s="3"/>
      <c r="VGH290" s="3"/>
      <c r="VGI290" s="3"/>
      <c r="VGJ290" s="3"/>
      <c r="VGK290" s="3"/>
      <c r="VGL290" s="3"/>
      <c r="VGM290" s="3"/>
      <c r="VGN290" s="3"/>
      <c r="VGO290" s="3"/>
      <c r="VGP290" s="3"/>
      <c r="VGQ290" s="3"/>
      <c r="VGR290" s="3"/>
      <c r="VGS290" s="3"/>
      <c r="VGT290" s="3"/>
      <c r="VGU290" s="3"/>
      <c r="VGV290" s="3"/>
      <c r="VGW290" s="3"/>
      <c r="VGX290" s="3"/>
      <c r="VGY290" s="3"/>
      <c r="VGZ290" s="3"/>
      <c r="VHA290" s="3"/>
      <c r="VHB290" s="3"/>
      <c r="VHC290" s="3"/>
      <c r="VHD290" s="3"/>
      <c r="VHE290" s="3"/>
      <c r="VHF290" s="3"/>
      <c r="VHG290" s="3"/>
      <c r="VHH290" s="3"/>
      <c r="VHI290" s="3"/>
      <c r="VHJ290" s="3"/>
      <c r="VHK290" s="3"/>
      <c r="VHL290" s="3"/>
      <c r="VHM290" s="3"/>
      <c r="VHN290" s="3"/>
      <c r="VHO290" s="3"/>
      <c r="VHP290" s="3"/>
      <c r="VHQ290" s="3"/>
      <c r="VHR290" s="3"/>
      <c r="VHS290" s="3"/>
      <c r="VHT290" s="3"/>
      <c r="VHU290" s="3"/>
      <c r="VHV290" s="3"/>
      <c r="VHW290" s="3"/>
      <c r="VHX290" s="3"/>
      <c r="VHY290" s="3"/>
      <c r="VHZ290" s="3"/>
      <c r="VIA290" s="3"/>
      <c r="VIB290" s="3"/>
      <c r="VIC290" s="3"/>
      <c r="VID290" s="3"/>
      <c r="VIE290" s="3"/>
      <c r="VIF290" s="3"/>
      <c r="VIG290" s="3"/>
      <c r="VIH290" s="3"/>
      <c r="VII290" s="3"/>
      <c r="VIJ290" s="3"/>
      <c r="VIK290" s="3"/>
      <c r="VIL290" s="3"/>
      <c r="VIM290" s="3"/>
      <c r="VIN290" s="3"/>
      <c r="VIO290" s="3"/>
      <c r="VIP290" s="3"/>
      <c r="VIQ290" s="3"/>
      <c r="VIR290" s="3"/>
      <c r="VIS290" s="3"/>
      <c r="VIT290" s="3"/>
      <c r="VIU290" s="3"/>
      <c r="VIV290" s="3"/>
      <c r="VIW290" s="3"/>
      <c r="VIX290" s="3"/>
      <c r="VIY290" s="3"/>
      <c r="VIZ290" s="3"/>
      <c r="VJA290" s="3"/>
      <c r="VJB290" s="3"/>
      <c r="VJC290" s="3"/>
      <c r="VJD290" s="3"/>
      <c r="VJE290" s="3"/>
      <c r="VJF290" s="3"/>
      <c r="VJG290" s="3"/>
      <c r="VJH290" s="3"/>
      <c r="VJI290" s="3"/>
      <c r="VJJ290" s="3"/>
      <c r="VJK290" s="3"/>
      <c r="VJL290" s="3"/>
      <c r="VJM290" s="3"/>
      <c r="VJN290" s="3"/>
      <c r="VJO290" s="3"/>
      <c r="VJP290" s="3"/>
      <c r="VJQ290" s="3"/>
      <c r="VJR290" s="3"/>
      <c r="VJS290" s="3"/>
      <c r="VJT290" s="3"/>
      <c r="VJU290" s="3"/>
      <c r="VJV290" s="3"/>
      <c r="VJW290" s="3"/>
      <c r="VJX290" s="3"/>
      <c r="VJY290" s="3"/>
      <c r="VJZ290" s="3"/>
      <c r="VKA290" s="3"/>
      <c r="VKB290" s="3"/>
      <c r="VKC290" s="3"/>
      <c r="VKD290" s="3"/>
      <c r="VKE290" s="3"/>
      <c r="VKF290" s="3"/>
      <c r="VKG290" s="3"/>
      <c r="VKH290" s="3"/>
      <c r="VKI290" s="3"/>
      <c r="VKJ290" s="3"/>
      <c r="VKK290" s="3"/>
      <c r="VKL290" s="3"/>
      <c r="VKM290" s="3"/>
      <c r="VKN290" s="3"/>
      <c r="VKO290" s="3"/>
      <c r="VKP290" s="3"/>
      <c r="VKQ290" s="3"/>
      <c r="VKR290" s="3"/>
      <c r="VKS290" s="3"/>
      <c r="VKT290" s="3"/>
      <c r="VKU290" s="3"/>
      <c r="VKV290" s="3"/>
      <c r="VKW290" s="3"/>
      <c r="VKX290" s="3"/>
      <c r="VKY290" s="3"/>
      <c r="VKZ290" s="3"/>
      <c r="VLA290" s="3"/>
      <c r="VLB290" s="3"/>
      <c r="VLC290" s="3"/>
      <c r="VLD290" s="3"/>
      <c r="VLE290" s="3"/>
      <c r="VLF290" s="3"/>
      <c r="VLG290" s="3"/>
      <c r="VLH290" s="3"/>
      <c r="VLI290" s="3"/>
      <c r="VLJ290" s="3"/>
      <c r="VLK290" s="3"/>
      <c r="VLL290" s="3"/>
      <c r="VLM290" s="3"/>
      <c r="VLN290" s="3"/>
      <c r="VLO290" s="3"/>
      <c r="VLP290" s="3"/>
      <c r="VLQ290" s="3"/>
      <c r="VLR290" s="3"/>
      <c r="VLS290" s="3"/>
      <c r="VLT290" s="3"/>
      <c r="VLU290" s="3"/>
      <c r="VLV290" s="3"/>
      <c r="VLW290" s="3"/>
      <c r="VLX290" s="3"/>
      <c r="VLY290" s="3"/>
      <c r="VLZ290" s="3"/>
      <c r="VMA290" s="3"/>
      <c r="VMB290" s="3"/>
      <c r="VMC290" s="3"/>
      <c r="VMD290" s="3"/>
      <c r="VME290" s="3"/>
      <c r="VMF290" s="3"/>
      <c r="VMG290" s="3"/>
      <c r="VMH290" s="3"/>
      <c r="VMI290" s="3"/>
      <c r="VMJ290" s="3"/>
      <c r="VMK290" s="3"/>
      <c r="VML290" s="3"/>
      <c r="VMM290" s="3"/>
      <c r="VMN290" s="3"/>
      <c r="VMO290" s="3"/>
      <c r="VMP290" s="3"/>
      <c r="VMQ290" s="3"/>
      <c r="VMR290" s="3"/>
      <c r="VMS290" s="3"/>
      <c r="VMT290" s="3"/>
      <c r="VMU290" s="3"/>
      <c r="VMV290" s="3"/>
      <c r="VMW290" s="3"/>
      <c r="VMX290" s="3"/>
      <c r="VMY290" s="3"/>
      <c r="VMZ290" s="3"/>
      <c r="VNA290" s="3"/>
      <c r="VNB290" s="3"/>
      <c r="VNC290" s="3"/>
      <c r="VND290" s="3"/>
      <c r="VNE290" s="3"/>
      <c r="VNF290" s="3"/>
      <c r="VNG290" s="3"/>
      <c r="VNH290" s="3"/>
      <c r="VNI290" s="3"/>
      <c r="VNJ290" s="3"/>
      <c r="VNK290" s="3"/>
      <c r="VNL290" s="3"/>
      <c r="VNM290" s="3"/>
      <c r="VNN290" s="3"/>
      <c r="VNO290" s="3"/>
      <c r="VNP290" s="3"/>
      <c r="VNQ290" s="3"/>
      <c r="VNR290" s="3"/>
      <c r="VNS290" s="3"/>
      <c r="VNT290" s="3"/>
      <c r="VNU290" s="3"/>
      <c r="VNV290" s="3"/>
      <c r="VNW290" s="3"/>
      <c r="VNX290" s="3"/>
      <c r="VNY290" s="3"/>
      <c r="VNZ290" s="3"/>
      <c r="VOA290" s="3"/>
      <c r="VOB290" s="3"/>
      <c r="VOC290" s="3"/>
      <c r="VOD290" s="3"/>
      <c r="VOE290" s="3"/>
      <c r="VOF290" s="3"/>
      <c r="VOG290" s="3"/>
      <c r="VOH290" s="3"/>
      <c r="VOI290" s="3"/>
      <c r="VOJ290" s="3"/>
      <c r="VOK290" s="3"/>
      <c r="VOL290" s="3"/>
      <c r="VOM290" s="3"/>
      <c r="VON290" s="3"/>
      <c r="VOO290" s="3"/>
      <c r="VOP290" s="3"/>
      <c r="VOQ290" s="3"/>
      <c r="VOR290" s="3"/>
      <c r="VOS290" s="3"/>
      <c r="VOT290" s="3"/>
      <c r="VOU290" s="3"/>
      <c r="VOV290" s="3"/>
      <c r="VOW290" s="3"/>
      <c r="VOX290" s="3"/>
      <c r="VOY290" s="3"/>
      <c r="VOZ290" s="3"/>
      <c r="VPA290" s="3"/>
      <c r="VPB290" s="3"/>
      <c r="VPC290" s="3"/>
      <c r="VPD290" s="3"/>
      <c r="VPE290" s="3"/>
      <c r="VPF290" s="3"/>
      <c r="VPG290" s="3"/>
      <c r="VPH290" s="3"/>
      <c r="VPI290" s="3"/>
      <c r="VPJ290" s="3"/>
      <c r="VPK290" s="3"/>
      <c r="VPL290" s="3"/>
      <c r="VPM290" s="3"/>
      <c r="VPN290" s="3"/>
      <c r="VPO290" s="3"/>
      <c r="VPP290" s="3"/>
      <c r="VPQ290" s="3"/>
      <c r="VPR290" s="3"/>
      <c r="VPS290" s="3"/>
      <c r="VPT290" s="3"/>
      <c r="VPU290" s="3"/>
      <c r="VPV290" s="3"/>
      <c r="VPW290" s="3"/>
      <c r="VPX290" s="3"/>
      <c r="VPY290" s="3"/>
      <c r="VPZ290" s="3"/>
      <c r="VQA290" s="3"/>
      <c r="VQB290" s="3"/>
      <c r="VQC290" s="3"/>
      <c r="VQD290" s="3"/>
      <c r="VQE290" s="3"/>
      <c r="VQF290" s="3"/>
      <c r="VQG290" s="3"/>
      <c r="VQH290" s="3"/>
      <c r="VQI290" s="3"/>
      <c r="VQJ290" s="3"/>
      <c r="VQK290" s="3"/>
      <c r="VQL290" s="3"/>
      <c r="VQM290" s="3"/>
      <c r="VQN290" s="3"/>
      <c r="VQO290" s="3"/>
      <c r="VQP290" s="3"/>
      <c r="VQQ290" s="3"/>
      <c r="VQR290" s="3"/>
      <c r="VQS290" s="3"/>
      <c r="VQT290" s="3"/>
      <c r="VQU290" s="3"/>
      <c r="VQV290" s="3"/>
      <c r="VQW290" s="3"/>
      <c r="VQX290" s="3"/>
      <c r="VQY290" s="3"/>
      <c r="VQZ290" s="3"/>
      <c r="VRA290" s="3"/>
      <c r="VRB290" s="3"/>
      <c r="VRC290" s="3"/>
      <c r="VRD290" s="3"/>
      <c r="VRE290" s="3"/>
      <c r="VRF290" s="3"/>
      <c r="VRG290" s="3"/>
      <c r="VRH290" s="3"/>
      <c r="VRI290" s="3"/>
      <c r="VRJ290" s="3"/>
      <c r="VRK290" s="3"/>
      <c r="VRL290" s="3"/>
      <c r="VRM290" s="3"/>
      <c r="VRN290" s="3"/>
      <c r="VRO290" s="3"/>
      <c r="VRP290" s="3"/>
      <c r="VRQ290" s="3"/>
      <c r="VRR290" s="3"/>
      <c r="VRS290" s="3"/>
      <c r="VRT290" s="3"/>
      <c r="VRU290" s="3"/>
      <c r="VRV290" s="3"/>
      <c r="VRW290" s="3"/>
      <c r="VRX290" s="3"/>
      <c r="VRY290" s="3"/>
      <c r="VRZ290" s="3"/>
      <c r="VSA290" s="3"/>
      <c r="VSB290" s="3"/>
      <c r="VSC290" s="3"/>
      <c r="VSD290" s="3"/>
      <c r="VSE290" s="3"/>
      <c r="VSF290" s="3"/>
      <c r="VSG290" s="3"/>
      <c r="VSH290" s="3"/>
      <c r="VSI290" s="3"/>
      <c r="VSJ290" s="3"/>
      <c r="VSK290" s="3"/>
      <c r="VSL290" s="3"/>
      <c r="VSM290" s="3"/>
      <c r="VSN290" s="3"/>
      <c r="VSO290" s="3"/>
      <c r="VSP290" s="3"/>
      <c r="VSQ290" s="3"/>
      <c r="VSR290" s="3"/>
      <c r="VSS290" s="3"/>
      <c r="VST290" s="3"/>
      <c r="VSU290" s="3"/>
      <c r="VSV290" s="3"/>
      <c r="VSW290" s="3"/>
      <c r="VSX290" s="3"/>
      <c r="VSY290" s="3"/>
      <c r="VSZ290" s="3"/>
      <c r="VTA290" s="3"/>
      <c r="VTB290" s="3"/>
      <c r="VTC290" s="3"/>
      <c r="VTD290" s="3"/>
      <c r="VTE290" s="3"/>
      <c r="VTF290" s="3"/>
      <c r="VTG290" s="3"/>
      <c r="VTH290" s="3"/>
      <c r="VTI290" s="3"/>
      <c r="VTJ290" s="3"/>
      <c r="VTK290" s="3"/>
      <c r="VTL290" s="3"/>
      <c r="VTM290" s="3"/>
      <c r="VTN290" s="3"/>
      <c r="VTO290" s="3"/>
      <c r="VTP290" s="3"/>
      <c r="VTQ290" s="3"/>
      <c r="VTR290" s="3"/>
      <c r="VTS290" s="3"/>
      <c r="VTT290" s="3"/>
      <c r="VTU290" s="3"/>
      <c r="VTV290" s="3"/>
      <c r="VTW290" s="3"/>
      <c r="VTX290" s="3"/>
      <c r="VTY290" s="3"/>
      <c r="VTZ290" s="3"/>
      <c r="VUA290" s="3"/>
      <c r="VUB290" s="3"/>
      <c r="VUC290" s="3"/>
      <c r="VUD290" s="3"/>
      <c r="VUE290" s="3"/>
      <c r="VUF290" s="3"/>
      <c r="VUG290" s="3"/>
      <c r="VUH290" s="3"/>
      <c r="VUI290" s="3"/>
      <c r="VUJ290" s="3"/>
      <c r="VUK290" s="3"/>
      <c r="VUL290" s="3"/>
      <c r="VUM290" s="3"/>
      <c r="VUN290" s="3"/>
      <c r="VUO290" s="3"/>
      <c r="VUP290" s="3"/>
      <c r="VUQ290" s="3"/>
      <c r="VUR290" s="3"/>
      <c r="VUS290" s="3"/>
      <c r="VUT290" s="3"/>
      <c r="VUU290" s="3"/>
      <c r="VUV290" s="3"/>
      <c r="VUW290" s="3"/>
      <c r="VUX290" s="3"/>
      <c r="VUY290" s="3"/>
      <c r="VUZ290" s="3"/>
      <c r="VVA290" s="3"/>
      <c r="VVB290" s="3"/>
      <c r="VVC290" s="3"/>
      <c r="VVD290" s="3"/>
      <c r="VVE290" s="3"/>
      <c r="VVF290" s="3"/>
      <c r="VVG290" s="3"/>
      <c r="VVH290" s="3"/>
      <c r="VVI290" s="3"/>
      <c r="VVJ290" s="3"/>
      <c r="VVK290" s="3"/>
      <c r="VVL290" s="3"/>
      <c r="VVM290" s="3"/>
      <c r="VVN290" s="3"/>
      <c r="VVO290" s="3"/>
      <c r="VVP290" s="3"/>
      <c r="VVQ290" s="3"/>
      <c r="VVR290" s="3"/>
      <c r="VVS290" s="3"/>
      <c r="VVT290" s="3"/>
      <c r="VVU290" s="3"/>
      <c r="VVV290" s="3"/>
      <c r="VVW290" s="3"/>
      <c r="VVX290" s="3"/>
      <c r="VVY290" s="3"/>
      <c r="VVZ290" s="3"/>
      <c r="VWA290" s="3"/>
      <c r="VWB290" s="3"/>
      <c r="VWC290" s="3"/>
      <c r="VWD290" s="3"/>
      <c r="VWE290" s="3"/>
      <c r="VWF290" s="3"/>
      <c r="VWG290" s="3"/>
      <c r="VWH290" s="3"/>
      <c r="VWI290" s="3"/>
      <c r="VWJ290" s="3"/>
      <c r="VWK290" s="3"/>
      <c r="VWL290" s="3"/>
      <c r="VWM290" s="3"/>
      <c r="VWN290" s="3"/>
      <c r="VWO290" s="3"/>
      <c r="VWP290" s="3"/>
      <c r="VWQ290" s="3"/>
      <c r="VWR290" s="3"/>
      <c r="VWS290" s="3"/>
      <c r="VWT290" s="3"/>
      <c r="VWU290" s="3"/>
      <c r="VWV290" s="3"/>
      <c r="VWW290" s="3"/>
      <c r="VWX290" s="3"/>
      <c r="VWY290" s="3"/>
      <c r="VWZ290" s="3"/>
      <c r="VXA290" s="3"/>
      <c r="VXB290" s="3"/>
      <c r="VXC290" s="3"/>
      <c r="VXD290" s="3"/>
      <c r="VXE290" s="3"/>
      <c r="VXF290" s="3"/>
      <c r="VXG290" s="3"/>
      <c r="VXH290" s="3"/>
      <c r="VXI290" s="3"/>
      <c r="VXJ290" s="3"/>
      <c r="VXK290" s="3"/>
      <c r="VXL290" s="3"/>
      <c r="VXM290" s="3"/>
      <c r="VXN290" s="3"/>
      <c r="VXO290" s="3"/>
      <c r="VXP290" s="3"/>
      <c r="VXQ290" s="3"/>
      <c r="VXR290" s="3"/>
      <c r="VXS290" s="3"/>
      <c r="VXT290" s="3"/>
      <c r="VXU290" s="3"/>
      <c r="VXV290" s="3"/>
      <c r="VXW290" s="3"/>
      <c r="VXX290" s="3"/>
      <c r="VXY290" s="3"/>
      <c r="VXZ290" s="3"/>
      <c r="VYA290" s="3"/>
      <c r="VYB290" s="3"/>
      <c r="VYC290" s="3"/>
      <c r="VYD290" s="3"/>
      <c r="VYE290" s="3"/>
      <c r="VYF290" s="3"/>
      <c r="VYG290" s="3"/>
      <c r="VYH290" s="3"/>
      <c r="VYI290" s="3"/>
      <c r="VYJ290" s="3"/>
      <c r="VYK290" s="3"/>
      <c r="VYL290" s="3"/>
      <c r="VYM290" s="3"/>
      <c r="VYN290" s="3"/>
      <c r="VYO290" s="3"/>
      <c r="VYP290" s="3"/>
      <c r="VYQ290" s="3"/>
      <c r="VYR290" s="3"/>
      <c r="VYS290" s="3"/>
      <c r="VYT290" s="3"/>
      <c r="VYU290" s="3"/>
      <c r="VYV290" s="3"/>
      <c r="VYW290" s="3"/>
      <c r="VYX290" s="3"/>
      <c r="VYY290" s="3"/>
      <c r="VYZ290" s="3"/>
      <c r="VZA290" s="3"/>
      <c r="VZB290" s="3"/>
      <c r="VZC290" s="3"/>
      <c r="VZD290" s="3"/>
      <c r="VZE290" s="3"/>
      <c r="VZF290" s="3"/>
      <c r="VZG290" s="3"/>
      <c r="VZH290" s="3"/>
      <c r="VZI290" s="3"/>
      <c r="VZJ290" s="3"/>
      <c r="VZK290" s="3"/>
      <c r="VZL290" s="3"/>
      <c r="VZM290" s="3"/>
      <c r="VZN290" s="3"/>
      <c r="VZO290" s="3"/>
      <c r="VZP290" s="3"/>
      <c r="VZQ290" s="3"/>
      <c r="VZR290" s="3"/>
      <c r="VZS290" s="3"/>
      <c r="VZT290" s="3"/>
      <c r="VZU290" s="3"/>
      <c r="VZV290" s="3"/>
      <c r="VZW290" s="3"/>
      <c r="VZX290" s="3"/>
      <c r="VZY290" s="3"/>
      <c r="VZZ290" s="3"/>
      <c r="WAA290" s="3"/>
      <c r="WAB290" s="3"/>
      <c r="WAC290" s="3"/>
      <c r="WAD290" s="3"/>
      <c r="WAE290" s="3"/>
      <c r="WAF290" s="3"/>
      <c r="WAG290" s="3"/>
      <c r="WAH290" s="3"/>
      <c r="WAI290" s="3"/>
      <c r="WAJ290" s="3"/>
      <c r="WAK290" s="3"/>
      <c r="WAL290" s="3"/>
      <c r="WAM290" s="3"/>
      <c r="WAN290" s="3"/>
      <c r="WAO290" s="3"/>
      <c r="WAP290" s="3"/>
      <c r="WAQ290" s="3"/>
      <c r="WAR290" s="3"/>
      <c r="WAS290" s="3"/>
      <c r="WAT290" s="3"/>
      <c r="WAU290" s="3"/>
      <c r="WAV290" s="3"/>
      <c r="WAW290" s="3"/>
      <c r="WAX290" s="3"/>
      <c r="WAY290" s="3"/>
      <c r="WAZ290" s="3"/>
      <c r="WBA290" s="3"/>
      <c r="WBB290" s="3"/>
      <c r="WBC290" s="3"/>
      <c r="WBD290" s="3"/>
      <c r="WBE290" s="3"/>
      <c r="WBF290" s="3"/>
      <c r="WBG290" s="3"/>
      <c r="WBH290" s="3"/>
      <c r="WBI290" s="3"/>
      <c r="WBJ290" s="3"/>
      <c r="WBK290" s="3"/>
      <c r="WBL290" s="3"/>
      <c r="WBM290" s="3"/>
      <c r="WBN290" s="3"/>
      <c r="WBO290" s="3"/>
      <c r="WBP290" s="3"/>
      <c r="WBQ290" s="3"/>
      <c r="WBR290" s="3"/>
      <c r="WBS290" s="3"/>
      <c r="WBT290" s="3"/>
      <c r="WBU290" s="3"/>
      <c r="WBV290" s="3"/>
      <c r="WBW290" s="3"/>
      <c r="WBX290" s="3"/>
      <c r="WBY290" s="3"/>
      <c r="WBZ290" s="3"/>
      <c r="WCA290" s="3"/>
      <c r="WCB290" s="3"/>
      <c r="WCC290" s="3"/>
      <c r="WCD290" s="3"/>
      <c r="WCE290" s="3"/>
      <c r="WCF290" s="3"/>
      <c r="WCG290" s="3"/>
      <c r="WCH290" s="3"/>
      <c r="WCI290" s="3"/>
      <c r="WCJ290" s="3"/>
      <c r="WCK290" s="3"/>
      <c r="WCL290" s="3"/>
      <c r="WCM290" s="3"/>
      <c r="WCN290" s="3"/>
      <c r="WCO290" s="3"/>
      <c r="WCP290" s="3"/>
      <c r="WCQ290" s="3"/>
      <c r="WCR290" s="3"/>
      <c r="WCS290" s="3"/>
      <c r="WCT290" s="3"/>
      <c r="WCU290" s="3"/>
      <c r="WCV290" s="3"/>
      <c r="WCW290" s="3"/>
      <c r="WCX290" s="3"/>
      <c r="WCY290" s="3"/>
      <c r="WCZ290" s="3"/>
      <c r="WDA290" s="3"/>
      <c r="WDB290" s="3"/>
      <c r="WDC290" s="3"/>
      <c r="WDD290" s="3"/>
      <c r="WDE290" s="3"/>
      <c r="WDF290" s="3"/>
      <c r="WDG290" s="3"/>
      <c r="WDH290" s="3"/>
      <c r="WDI290" s="3"/>
      <c r="WDJ290" s="3"/>
      <c r="WDK290" s="3"/>
      <c r="WDL290" s="3"/>
      <c r="WDM290" s="3"/>
      <c r="WDN290" s="3"/>
      <c r="WDO290" s="3"/>
      <c r="WDP290" s="3"/>
      <c r="WDQ290" s="3"/>
      <c r="WDR290" s="3"/>
      <c r="WDS290" s="3"/>
      <c r="WDT290" s="3"/>
      <c r="WDU290" s="3"/>
      <c r="WDV290" s="3"/>
      <c r="WDW290" s="3"/>
      <c r="WDX290" s="3"/>
      <c r="WDY290" s="3"/>
      <c r="WDZ290" s="3"/>
      <c r="WEA290" s="3"/>
      <c r="WEB290" s="3"/>
      <c r="WEC290" s="3"/>
      <c r="WED290" s="3"/>
      <c r="WEE290" s="3"/>
      <c r="WEF290" s="3"/>
      <c r="WEG290" s="3"/>
      <c r="WEH290" s="3"/>
      <c r="WEI290" s="3"/>
      <c r="WEJ290" s="3"/>
      <c r="WEK290" s="3"/>
      <c r="WEL290" s="3"/>
      <c r="WEM290" s="3"/>
      <c r="WEN290" s="3"/>
      <c r="WEO290" s="3"/>
      <c r="WEP290" s="3"/>
      <c r="WEQ290" s="3"/>
      <c r="WER290" s="3"/>
      <c r="WES290" s="3"/>
      <c r="WET290" s="3"/>
      <c r="WEU290" s="3"/>
      <c r="WEV290" s="3"/>
      <c r="WEW290" s="3"/>
      <c r="WEX290" s="3"/>
      <c r="WEY290" s="3"/>
      <c r="WEZ290" s="3"/>
      <c r="WFA290" s="3"/>
      <c r="WFB290" s="3"/>
      <c r="WFC290" s="3"/>
      <c r="WFD290" s="3"/>
      <c r="WFE290" s="3"/>
      <c r="WFF290" s="3"/>
      <c r="WFG290" s="3"/>
      <c r="WFH290" s="3"/>
      <c r="WFI290" s="3"/>
      <c r="WFJ290" s="3"/>
      <c r="WFK290" s="3"/>
      <c r="WFL290" s="3"/>
      <c r="WFM290" s="3"/>
      <c r="WFN290" s="3"/>
      <c r="WFO290" s="3"/>
      <c r="WFP290" s="3"/>
      <c r="WFQ290" s="3"/>
      <c r="WFR290" s="3"/>
      <c r="WFS290" s="3"/>
      <c r="WFT290" s="3"/>
      <c r="WFU290" s="3"/>
      <c r="WFV290" s="3"/>
      <c r="WFW290" s="3"/>
      <c r="WFX290" s="3"/>
      <c r="WFY290" s="3"/>
      <c r="WFZ290" s="3"/>
      <c r="WGA290" s="3"/>
      <c r="WGB290" s="3"/>
      <c r="WGC290" s="3"/>
      <c r="WGD290" s="3"/>
      <c r="WGE290" s="3"/>
      <c r="WGF290" s="3"/>
      <c r="WGG290" s="3"/>
      <c r="WGH290" s="3"/>
      <c r="WGI290" s="3"/>
      <c r="WGJ290" s="3"/>
      <c r="WGK290" s="3"/>
      <c r="WGL290" s="3"/>
      <c r="WGM290" s="3"/>
      <c r="WGN290" s="3"/>
      <c r="WGO290" s="3"/>
      <c r="WGP290" s="3"/>
      <c r="WGQ290" s="3"/>
      <c r="WGR290" s="3"/>
      <c r="WGS290" s="3"/>
      <c r="WGT290" s="3"/>
      <c r="WGU290" s="3"/>
      <c r="WGV290" s="3"/>
      <c r="WGW290" s="3"/>
      <c r="WGX290" s="3"/>
      <c r="WGY290" s="3"/>
      <c r="WGZ290" s="3"/>
      <c r="WHA290" s="3"/>
      <c r="WHB290" s="3"/>
      <c r="WHC290" s="3"/>
      <c r="WHD290" s="3"/>
      <c r="WHE290" s="3"/>
      <c r="WHF290" s="3"/>
      <c r="WHG290" s="3"/>
      <c r="WHH290" s="3"/>
      <c r="WHI290" s="3"/>
      <c r="WHJ290" s="3"/>
      <c r="WHK290" s="3"/>
      <c r="WHL290" s="3"/>
      <c r="WHM290" s="3"/>
      <c r="WHN290" s="3"/>
      <c r="WHO290" s="3"/>
      <c r="WHP290" s="3"/>
      <c r="WHQ290" s="3"/>
      <c r="WHR290" s="3"/>
      <c r="WHS290" s="3"/>
      <c r="WHT290" s="3"/>
      <c r="WHU290" s="3"/>
      <c r="WHV290" s="3"/>
      <c r="WHW290" s="3"/>
      <c r="WHX290" s="3"/>
      <c r="WHY290" s="3"/>
      <c r="WHZ290" s="3"/>
      <c r="WIA290" s="3"/>
      <c r="WIB290" s="3"/>
      <c r="WIC290" s="3"/>
      <c r="WID290" s="3"/>
      <c r="WIE290" s="3"/>
      <c r="WIF290" s="3"/>
      <c r="WIG290" s="3"/>
      <c r="WIH290" s="3"/>
      <c r="WII290" s="3"/>
      <c r="WIJ290" s="3"/>
      <c r="WIK290" s="3"/>
      <c r="WIL290" s="3"/>
      <c r="WIM290" s="3"/>
      <c r="WIN290" s="3"/>
      <c r="WIO290" s="3"/>
      <c r="WIP290" s="3"/>
      <c r="WIQ290" s="3"/>
      <c r="WIR290" s="3"/>
      <c r="WIS290" s="3"/>
      <c r="WIT290" s="3"/>
      <c r="WIU290" s="3"/>
      <c r="WIV290" s="3"/>
      <c r="WIW290" s="3"/>
      <c r="WIX290" s="3"/>
      <c r="WIY290" s="3"/>
      <c r="WIZ290" s="3"/>
      <c r="WJA290" s="3"/>
      <c r="WJB290" s="3"/>
      <c r="WJC290" s="3"/>
      <c r="WJD290" s="3"/>
      <c r="WJE290" s="3"/>
      <c r="WJF290" s="3"/>
      <c r="WJG290" s="3"/>
      <c r="WJH290" s="3"/>
      <c r="WJI290" s="3"/>
      <c r="WJJ290" s="3"/>
      <c r="WJK290" s="3"/>
      <c r="WJL290" s="3"/>
      <c r="WJM290" s="3"/>
      <c r="WJN290" s="3"/>
      <c r="WJO290" s="3"/>
      <c r="WJP290" s="3"/>
      <c r="WJQ290" s="3"/>
      <c r="WJR290" s="3"/>
      <c r="WJS290" s="3"/>
      <c r="WJT290" s="3"/>
      <c r="WJU290" s="3"/>
      <c r="WJV290" s="3"/>
      <c r="WJW290" s="3"/>
      <c r="WJX290" s="3"/>
      <c r="WJY290" s="3"/>
      <c r="WJZ290" s="3"/>
      <c r="WKA290" s="3"/>
      <c r="WKB290" s="3"/>
      <c r="WKC290" s="3"/>
      <c r="WKD290" s="3"/>
      <c r="WKE290" s="3"/>
      <c r="WKF290" s="3"/>
      <c r="WKG290" s="3"/>
      <c r="WKH290" s="3"/>
      <c r="WKI290" s="3"/>
      <c r="WKJ290" s="3"/>
      <c r="WKK290" s="3"/>
      <c r="WKL290" s="3"/>
      <c r="WKM290" s="3"/>
      <c r="WKN290" s="3"/>
      <c r="WKO290" s="3"/>
      <c r="WKP290" s="3"/>
      <c r="WKQ290" s="3"/>
      <c r="WKR290" s="3"/>
      <c r="WKS290" s="3"/>
      <c r="WKT290" s="3"/>
      <c r="WKU290" s="3"/>
      <c r="WKV290" s="3"/>
      <c r="WKW290" s="3"/>
      <c r="WKX290" s="3"/>
      <c r="WKY290" s="3"/>
      <c r="WKZ290" s="3"/>
      <c r="WLA290" s="3"/>
      <c r="WLB290" s="3"/>
      <c r="WLC290" s="3"/>
      <c r="WLD290" s="3"/>
      <c r="WLE290" s="3"/>
      <c r="WLF290" s="3"/>
      <c r="WLG290" s="3"/>
      <c r="WLH290" s="3"/>
      <c r="WLI290" s="3"/>
      <c r="WLJ290" s="3"/>
      <c r="WLK290" s="3"/>
      <c r="WLL290" s="3"/>
      <c r="WLM290" s="3"/>
      <c r="WLN290" s="3"/>
      <c r="WLO290" s="3"/>
      <c r="WLP290" s="3"/>
      <c r="WLQ290" s="3"/>
      <c r="WLR290" s="3"/>
      <c r="WLS290" s="3"/>
      <c r="WLT290" s="3"/>
      <c r="WLU290" s="3"/>
      <c r="WLV290" s="3"/>
      <c r="WLW290" s="3"/>
      <c r="WLX290" s="3"/>
      <c r="WLY290" s="3"/>
      <c r="WLZ290" s="3"/>
      <c r="WMA290" s="3"/>
      <c r="WMB290" s="3"/>
      <c r="WMC290" s="3"/>
      <c r="WMD290" s="3"/>
      <c r="WME290" s="3"/>
      <c r="WMF290" s="3"/>
      <c r="WMG290" s="3"/>
      <c r="WMH290" s="3"/>
      <c r="WMI290" s="3"/>
      <c r="WMJ290" s="3"/>
      <c r="WMK290" s="3"/>
      <c r="WML290" s="3"/>
      <c r="WMM290" s="3"/>
      <c r="WMN290" s="3"/>
      <c r="WMO290" s="3"/>
      <c r="WMP290" s="3"/>
      <c r="WMQ290" s="3"/>
      <c r="WMR290" s="3"/>
      <c r="WMS290" s="3"/>
      <c r="WMT290" s="3"/>
      <c r="WMU290" s="3"/>
      <c r="WMV290" s="3"/>
      <c r="WMW290" s="3"/>
      <c r="WMX290" s="3"/>
      <c r="WMY290" s="3"/>
      <c r="WMZ290" s="3"/>
      <c r="WNA290" s="3"/>
      <c r="WNB290" s="3"/>
      <c r="WNC290" s="3"/>
      <c r="WND290" s="3"/>
      <c r="WNE290" s="3"/>
      <c r="WNF290" s="3"/>
      <c r="WNG290" s="3"/>
      <c r="WNH290" s="3"/>
      <c r="WNI290" s="3"/>
      <c r="WNJ290" s="3"/>
      <c r="WNK290" s="3"/>
      <c r="WNL290" s="3"/>
      <c r="WNM290" s="3"/>
      <c r="WNN290" s="3"/>
      <c r="WNO290" s="3"/>
      <c r="WNP290" s="3"/>
      <c r="WNQ290" s="3"/>
      <c r="WNR290" s="3"/>
      <c r="WNS290" s="3"/>
      <c r="WNT290" s="3"/>
      <c r="WNU290" s="3"/>
      <c r="WNV290" s="3"/>
      <c r="WNW290" s="3"/>
      <c r="WNX290" s="3"/>
      <c r="WNY290" s="3"/>
      <c r="WNZ290" s="3"/>
      <c r="WOA290" s="3"/>
      <c r="WOB290" s="3"/>
      <c r="WOC290" s="3"/>
      <c r="WOD290" s="3"/>
      <c r="WOE290" s="3"/>
      <c r="WOF290" s="3"/>
      <c r="WOG290" s="3"/>
      <c r="WOH290" s="3"/>
      <c r="WOI290" s="3"/>
      <c r="WOJ290" s="3"/>
      <c r="WOK290" s="3"/>
      <c r="WOL290" s="3"/>
      <c r="WOM290" s="3"/>
      <c r="WON290" s="3"/>
      <c r="WOO290" s="3"/>
      <c r="WOP290" s="3"/>
      <c r="WOQ290" s="3"/>
      <c r="WOR290" s="3"/>
      <c r="WOS290" s="3"/>
      <c r="WOT290" s="3"/>
      <c r="WOU290" s="3"/>
      <c r="WOV290" s="3"/>
      <c r="WOW290" s="3"/>
      <c r="WOX290" s="3"/>
      <c r="WOY290" s="3"/>
      <c r="WOZ290" s="3"/>
      <c r="WPA290" s="3"/>
      <c r="WPB290" s="3"/>
      <c r="WPC290" s="3"/>
      <c r="WPD290" s="3"/>
      <c r="WPE290" s="3"/>
      <c r="WPF290" s="3"/>
      <c r="WPG290" s="3"/>
      <c r="WPH290" s="3"/>
      <c r="WPI290" s="3"/>
      <c r="WPJ290" s="3"/>
      <c r="WPK290" s="3"/>
      <c r="WPL290" s="3"/>
      <c r="WPM290" s="3"/>
      <c r="WPN290" s="3"/>
      <c r="WPO290" s="3"/>
      <c r="WPP290" s="3"/>
      <c r="WPQ290" s="3"/>
      <c r="WPR290" s="3"/>
      <c r="WPS290" s="3"/>
      <c r="WPT290" s="3"/>
      <c r="WPU290" s="3"/>
      <c r="WPV290" s="3"/>
      <c r="WPW290" s="3"/>
      <c r="WPX290" s="3"/>
      <c r="WPY290" s="3"/>
      <c r="WPZ290" s="3"/>
      <c r="WQA290" s="3"/>
      <c r="WQB290" s="3"/>
      <c r="WQC290" s="3"/>
      <c r="WQD290" s="3"/>
      <c r="WQE290" s="3"/>
      <c r="WQF290" s="3"/>
      <c r="WQG290" s="3"/>
      <c r="WQH290" s="3"/>
      <c r="WQI290" s="3"/>
      <c r="WQJ290" s="3"/>
      <c r="WQK290" s="3"/>
      <c r="WQL290" s="3"/>
      <c r="WQM290" s="3"/>
      <c r="WQN290" s="3"/>
      <c r="WQO290" s="3"/>
      <c r="WQP290" s="3"/>
      <c r="WQQ290" s="3"/>
      <c r="WQR290" s="3"/>
      <c r="WQS290" s="3"/>
      <c r="WQT290" s="3"/>
      <c r="WQU290" s="3"/>
      <c r="WQV290" s="3"/>
      <c r="WQW290" s="3"/>
      <c r="WQX290" s="3"/>
      <c r="WQY290" s="3"/>
      <c r="WQZ290" s="3"/>
      <c r="WRA290" s="3"/>
      <c r="WRB290" s="3"/>
      <c r="WRC290" s="3"/>
      <c r="WRD290" s="3"/>
      <c r="WRE290" s="3"/>
      <c r="WRF290" s="3"/>
      <c r="WRG290" s="3"/>
      <c r="WRH290" s="3"/>
      <c r="WRI290" s="3"/>
      <c r="WRJ290" s="3"/>
      <c r="WRK290" s="3"/>
      <c r="WRL290" s="3"/>
      <c r="WRM290" s="3"/>
      <c r="WRN290" s="3"/>
      <c r="WRO290" s="3"/>
      <c r="WRP290" s="3"/>
      <c r="WRQ290" s="3"/>
      <c r="WRR290" s="3"/>
      <c r="WRS290" s="3"/>
      <c r="WRT290" s="3"/>
      <c r="WRU290" s="3"/>
      <c r="WRV290" s="3"/>
      <c r="WRW290" s="3"/>
      <c r="WRX290" s="3"/>
      <c r="WRY290" s="3"/>
      <c r="WRZ290" s="3"/>
      <c r="WSA290" s="3"/>
      <c r="WSB290" s="3"/>
      <c r="WSC290" s="3"/>
      <c r="WSD290" s="3"/>
      <c r="WSE290" s="3"/>
      <c r="WSF290" s="3"/>
      <c r="WSG290" s="3"/>
      <c r="WSH290" s="3"/>
      <c r="WSI290" s="3"/>
      <c r="WSJ290" s="3"/>
      <c r="WSK290" s="3"/>
      <c r="WSL290" s="3"/>
      <c r="WSM290" s="3"/>
      <c r="WSN290" s="3"/>
      <c r="WSO290" s="3"/>
      <c r="WSP290" s="3"/>
      <c r="WSQ290" s="3"/>
      <c r="WSR290" s="3"/>
      <c r="WSS290" s="3"/>
      <c r="WST290" s="3"/>
      <c r="WSU290" s="3"/>
      <c r="WSV290" s="3"/>
      <c r="WSW290" s="3"/>
      <c r="WSX290" s="3"/>
      <c r="WSY290" s="3"/>
      <c r="WSZ290" s="3"/>
      <c r="WTA290" s="3"/>
      <c r="WTB290" s="3"/>
      <c r="WTC290" s="3"/>
      <c r="WTD290" s="3"/>
      <c r="WTE290" s="3"/>
      <c r="WTF290" s="3"/>
      <c r="WTG290" s="3"/>
      <c r="WTH290" s="3"/>
      <c r="WTI290" s="3"/>
      <c r="WTJ290" s="3"/>
      <c r="WTK290" s="3"/>
      <c r="WTL290" s="3"/>
      <c r="WTM290" s="3"/>
      <c r="WTN290" s="3"/>
      <c r="WTO290" s="3"/>
      <c r="WTP290" s="3"/>
      <c r="WTQ290" s="3"/>
      <c r="WTR290" s="3"/>
      <c r="WTS290" s="3"/>
      <c r="WTT290" s="3"/>
      <c r="WTU290" s="3"/>
      <c r="WTV290" s="3"/>
      <c r="WTW290" s="3"/>
      <c r="WTX290" s="3"/>
      <c r="WTY290" s="3"/>
      <c r="WTZ290" s="3"/>
      <c r="WUA290" s="3"/>
      <c r="WUB290" s="3"/>
      <c r="WUC290" s="3"/>
      <c r="WUD290" s="3"/>
      <c r="WUE290" s="3"/>
      <c r="WUF290" s="3"/>
      <c r="WUG290" s="3"/>
      <c r="WUH290" s="3"/>
      <c r="WUI290" s="3"/>
      <c r="WUJ290" s="3"/>
      <c r="WUK290" s="3"/>
      <c r="WUL290" s="3"/>
      <c r="WUM290" s="3"/>
      <c r="WUN290" s="3"/>
      <c r="WUO290" s="3"/>
      <c r="WUP290" s="3"/>
      <c r="WUQ290" s="3"/>
      <c r="WUR290" s="3"/>
      <c r="WUS290" s="3"/>
      <c r="WUT290" s="3"/>
      <c r="WUU290" s="3"/>
      <c r="WUV290" s="3"/>
      <c r="WUW290" s="3"/>
      <c r="WUX290" s="3"/>
      <c r="WUY290" s="3"/>
      <c r="WUZ290" s="3"/>
      <c r="WVA290" s="3"/>
      <c r="WVB290" s="3"/>
      <c r="WVC290" s="3"/>
      <c r="WVD290" s="3"/>
      <c r="WVE290" s="3"/>
      <c r="WVF290" s="3"/>
      <c r="WVG290" s="3"/>
      <c r="WVH290" s="3"/>
      <c r="WVI290" s="3"/>
      <c r="WVJ290" s="3"/>
      <c r="WVK290" s="3"/>
      <c r="WVL290" s="3"/>
      <c r="WVM290" s="3"/>
      <c r="WVN290" s="3"/>
      <c r="WVO290" s="3"/>
      <c r="WVP290" s="3"/>
      <c r="WVQ290" s="3"/>
      <c r="WVR290" s="3"/>
      <c r="WVS290" s="3"/>
      <c r="WVT290" s="3"/>
      <c r="WVU290" s="3"/>
      <c r="WVV290" s="3"/>
      <c r="WVW290" s="3"/>
      <c r="WVX290" s="3"/>
      <c r="WVY290" s="3"/>
      <c r="WVZ290" s="3"/>
      <c r="WWA290" s="3"/>
      <c r="WWB290" s="3"/>
      <c r="WWC290" s="3"/>
      <c r="WWD290" s="3"/>
      <c r="WWE290" s="3"/>
      <c r="WWF290" s="3"/>
      <c r="WWG290" s="3"/>
      <c r="WWH290" s="3"/>
      <c r="WWI290" s="3"/>
      <c r="WWJ290" s="3"/>
      <c r="WWK290" s="3"/>
      <c r="WWL290" s="3"/>
      <c r="WWM290" s="3"/>
      <c r="WWN290" s="3"/>
      <c r="WWO290" s="3"/>
      <c r="WWP290" s="3"/>
      <c r="WWQ290" s="3"/>
      <c r="WWR290" s="3"/>
      <c r="WWS290" s="3"/>
      <c r="WWT290" s="3"/>
      <c r="WWU290" s="3"/>
      <c r="WWV290" s="3"/>
      <c r="WWW290" s="3"/>
      <c r="WWX290" s="3"/>
      <c r="WWY290" s="3"/>
      <c r="WWZ290" s="3"/>
      <c r="WXA290" s="3"/>
      <c r="WXB290" s="3"/>
      <c r="WXC290" s="3"/>
      <c r="WXD290" s="3"/>
      <c r="WXE290" s="3"/>
      <c r="WXF290" s="3"/>
      <c r="WXG290" s="3"/>
      <c r="WXH290" s="3"/>
      <c r="WXI290" s="3"/>
      <c r="WXJ290" s="3"/>
      <c r="WXK290" s="3"/>
      <c r="WXL290" s="3"/>
      <c r="WXM290" s="3"/>
      <c r="WXN290" s="3"/>
      <c r="WXO290" s="3"/>
      <c r="WXP290" s="3"/>
      <c r="WXQ290" s="3"/>
      <c r="WXR290" s="3"/>
      <c r="WXS290" s="3"/>
      <c r="WXT290" s="3"/>
      <c r="WXU290" s="3"/>
      <c r="WXV290" s="3"/>
      <c r="WXW290" s="3"/>
      <c r="WXX290" s="3"/>
      <c r="WXY290" s="3"/>
      <c r="WXZ290" s="3"/>
      <c r="WYA290" s="3"/>
      <c r="WYB290" s="3"/>
      <c r="WYC290" s="3"/>
      <c r="WYD290" s="3"/>
      <c r="WYE290" s="3"/>
      <c r="WYF290" s="3"/>
      <c r="WYG290" s="3"/>
      <c r="WYH290" s="3"/>
      <c r="WYI290" s="3"/>
      <c r="WYJ290" s="3"/>
      <c r="WYK290" s="3"/>
      <c r="WYL290" s="3"/>
      <c r="WYM290" s="3"/>
      <c r="WYN290" s="3"/>
      <c r="WYO290" s="3"/>
      <c r="WYP290" s="3"/>
      <c r="WYQ290" s="3"/>
      <c r="WYR290" s="3"/>
      <c r="WYS290" s="3"/>
      <c r="WYT290" s="3"/>
      <c r="WYU290" s="3"/>
      <c r="WYV290" s="3"/>
      <c r="WYW290" s="3"/>
      <c r="WYX290" s="3"/>
      <c r="WYY290" s="3"/>
      <c r="WYZ290" s="3"/>
      <c r="WZA290" s="3"/>
      <c r="WZB290" s="3"/>
      <c r="WZC290" s="3"/>
      <c r="WZD290" s="3"/>
      <c r="WZE290" s="3"/>
      <c r="WZF290" s="3"/>
      <c r="WZG290" s="3"/>
      <c r="WZH290" s="3"/>
      <c r="WZI290" s="3"/>
      <c r="WZJ290" s="3"/>
      <c r="WZK290" s="3"/>
      <c r="WZL290" s="3"/>
      <c r="WZM290" s="3"/>
      <c r="WZN290" s="3"/>
      <c r="WZO290" s="3"/>
      <c r="WZP290" s="3"/>
      <c r="WZQ290" s="3"/>
      <c r="WZR290" s="3"/>
      <c r="WZS290" s="3"/>
      <c r="WZT290" s="3"/>
      <c r="WZU290" s="3"/>
      <c r="WZV290" s="3"/>
      <c r="WZW290" s="3"/>
      <c r="WZX290" s="3"/>
      <c r="WZY290" s="3"/>
      <c r="WZZ290" s="3"/>
      <c r="XAA290" s="3"/>
      <c r="XAB290" s="3"/>
      <c r="XAC290" s="3"/>
      <c r="XAD290" s="3"/>
      <c r="XAE290" s="3"/>
      <c r="XAF290" s="3"/>
      <c r="XAG290" s="3"/>
      <c r="XAH290" s="3"/>
      <c r="XAI290" s="3"/>
      <c r="XAJ290" s="3"/>
      <c r="XAK290" s="3"/>
      <c r="XAL290" s="3"/>
      <c r="XAM290" s="3"/>
      <c r="XAN290" s="3"/>
      <c r="XAO290" s="3"/>
      <c r="XAP290" s="3"/>
      <c r="XAQ290" s="3"/>
      <c r="XAR290" s="3"/>
      <c r="XAS290" s="3"/>
      <c r="XAT290" s="3"/>
      <c r="XAU290" s="3"/>
      <c r="XAV290" s="3"/>
      <c r="XAW290" s="3"/>
      <c r="XAX290" s="3"/>
      <c r="XAY290" s="3"/>
      <c r="XAZ290" s="3"/>
      <c r="XBA290" s="3"/>
      <c r="XBB290" s="3"/>
      <c r="XBC290" s="3"/>
      <c r="XBD290" s="3"/>
      <c r="XBE290" s="3"/>
      <c r="XBF290" s="3"/>
      <c r="XBG290" s="3"/>
      <c r="XBH290" s="3"/>
      <c r="XBI290" s="3"/>
      <c r="XBJ290" s="3"/>
      <c r="XBK290" s="3"/>
      <c r="XBL290" s="3"/>
      <c r="XBM290" s="3"/>
      <c r="XBN290" s="3"/>
      <c r="XBO290" s="3"/>
      <c r="XBP290" s="3"/>
      <c r="XBQ290" s="3"/>
      <c r="XBR290" s="3"/>
      <c r="XBS290" s="3"/>
      <c r="XBT290" s="3"/>
      <c r="XBU290" s="3"/>
      <c r="XBV290" s="3"/>
      <c r="XBW290" s="3"/>
      <c r="XBX290" s="3"/>
      <c r="XBY290" s="3"/>
      <c r="XBZ290" s="3"/>
      <c r="XCA290" s="3"/>
      <c r="XCB290" s="3"/>
      <c r="XCC290" s="3"/>
      <c r="XCD290" s="3"/>
      <c r="XCE290" s="3"/>
      <c r="XCF290" s="3"/>
      <c r="XCG290" s="3"/>
      <c r="XCH290" s="3"/>
      <c r="XCI290" s="3"/>
      <c r="XCJ290" s="3"/>
      <c r="XCK290" s="3"/>
      <c r="XCL290" s="3"/>
      <c r="XCM290" s="3"/>
      <c r="XCN290" s="3"/>
      <c r="XCO290" s="3"/>
      <c r="XCP290" s="3"/>
      <c r="XCQ290" s="3"/>
      <c r="XCR290" s="3"/>
      <c r="XCS290" s="3"/>
      <c r="XCT290" s="3"/>
      <c r="XCU290" s="3"/>
      <c r="XCV290" s="3"/>
      <c r="XCW290" s="3"/>
      <c r="XCX290" s="3"/>
      <c r="XCY290" s="3"/>
      <c r="XCZ290" s="3"/>
      <c r="XDA290" s="3"/>
      <c r="XDB290" s="3"/>
      <c r="XDC290" s="3"/>
      <c r="XDD290" s="3"/>
      <c r="XDE290" s="3"/>
      <c r="XDF290" s="3"/>
      <c r="XDG290" s="3"/>
      <c r="XDH290" s="3"/>
      <c r="XDI290" s="3"/>
      <c r="XDJ290" s="3"/>
      <c r="XDK290" s="3"/>
      <c r="XDL290" s="3"/>
      <c r="XDM290" s="3"/>
      <c r="XDN290" s="3"/>
      <c r="XDO290" s="3"/>
      <c r="XDP290" s="3"/>
    </row>
    <row r="292" spans="1:16344" ht="30" x14ac:dyDescent="0.4">
      <c r="B292" s="26" t="s">
        <v>94</v>
      </c>
    </row>
    <row r="293" spans="1:16344" x14ac:dyDescent="0.25">
      <c r="B293" s="17"/>
    </row>
    <row r="294" spans="1:16344" x14ac:dyDescent="0.25">
      <c r="B294" s="95"/>
    </row>
    <row r="295" spans="1:16344" x14ac:dyDescent="0.25">
      <c r="B295" s="17"/>
    </row>
    <row r="296" spans="1:16344" x14ac:dyDescent="0.25">
      <c r="B296" s="17"/>
    </row>
    <row r="297" spans="1:16344" x14ac:dyDescent="0.25">
      <c r="B297" s="17"/>
    </row>
    <row r="298" spans="1:16344" x14ac:dyDescent="0.25">
      <c r="B298" s="17"/>
      <c r="F298" s="160"/>
      <c r="G298" s="160"/>
      <c r="H298" s="160"/>
      <c r="I298" s="160"/>
      <c r="J298" s="205" t="s">
        <v>270</v>
      </c>
    </row>
    <row r="299" spans="1:16344" x14ac:dyDescent="0.25">
      <c r="B299" s="17" t="s">
        <v>95</v>
      </c>
      <c r="C299" s="186">
        <f>-P275</f>
        <v>-67.496469040000008</v>
      </c>
      <c r="F299" s="1" t="s">
        <v>265</v>
      </c>
      <c r="J299" s="63">
        <f>AVERAGE(P74:S74)*(1-0.25)*10</f>
        <v>37.014131501785876</v>
      </c>
      <c r="K299" s="157"/>
      <c r="L299" s="44"/>
    </row>
    <row r="300" spans="1:16344" x14ac:dyDescent="0.25">
      <c r="B300" s="17" t="s">
        <v>96</v>
      </c>
      <c r="C300" s="186">
        <f>P127</f>
        <v>1</v>
      </c>
      <c r="F300" s="1" t="s">
        <v>254</v>
      </c>
      <c r="G300" s="48"/>
      <c r="J300" s="135">
        <f>16.5*1.05^4</f>
        <v>20.055853124999999</v>
      </c>
      <c r="K300" s="157"/>
      <c r="L300" s="44"/>
    </row>
    <row r="301" spans="1:16344" x14ac:dyDescent="0.25">
      <c r="B301" s="17" t="s">
        <v>97</v>
      </c>
      <c r="C301" s="186">
        <f>Q127</f>
        <v>1</v>
      </c>
      <c r="F301" s="1" t="s">
        <v>255</v>
      </c>
      <c r="J301" s="135">
        <f>26.25*1.05^4</f>
        <v>31.907039062500001</v>
      </c>
      <c r="K301" s="157"/>
      <c r="L301" s="44"/>
      <c r="N301" s="166"/>
    </row>
    <row r="302" spans="1:16344" x14ac:dyDescent="0.25">
      <c r="B302" s="17" t="s">
        <v>263</v>
      </c>
      <c r="C302" s="186">
        <f>R127</f>
        <v>1</v>
      </c>
      <c r="F302" s="1" t="s">
        <v>264</v>
      </c>
      <c r="J302" s="66">
        <f>S153</f>
        <v>84.553252276900025</v>
      </c>
      <c r="K302" s="48"/>
      <c r="L302" s="63"/>
    </row>
    <row r="303" spans="1:16344" x14ac:dyDescent="0.25">
      <c r="B303" s="17" t="s">
        <v>294</v>
      </c>
      <c r="C303" s="186">
        <f>S127+J307*0.9+S128</f>
        <v>155.00617776200232</v>
      </c>
      <c r="F303" s="1" t="s">
        <v>256</v>
      </c>
      <c r="J303" s="66">
        <f>S147</f>
        <v>8.4835609999999999</v>
      </c>
      <c r="K303" s="63">
        <f>+SUM(J299:J302)</f>
        <v>173.53027596618591</v>
      </c>
    </row>
    <row r="304" spans="1:16344" x14ac:dyDescent="0.25">
      <c r="F304" s="1" t="s">
        <v>257</v>
      </c>
      <c r="J304" s="66">
        <f>S148</f>
        <v>1.4820660000000001</v>
      </c>
    </row>
    <row r="305" spans="2:10" x14ac:dyDescent="0.25">
      <c r="B305" s="58" t="s">
        <v>98</v>
      </c>
      <c r="C305" s="107">
        <f>IRR(C299:C303)</f>
        <v>0.24022557037178482</v>
      </c>
      <c r="F305" s="1" t="s">
        <v>258</v>
      </c>
      <c r="J305" s="66">
        <f>S156</f>
        <v>23.520635991594446</v>
      </c>
    </row>
    <row r="306" spans="2:10" ht="18.75" x14ac:dyDescent="0.4">
      <c r="C306" s="167"/>
      <c r="D306" s="165"/>
      <c r="F306" s="1" t="s">
        <v>259</v>
      </c>
      <c r="J306" s="66">
        <f>-S236</f>
        <v>-39.231897000000004</v>
      </c>
    </row>
    <row r="307" spans="2:10" x14ac:dyDescent="0.25">
      <c r="F307" s="164" t="s">
        <v>276</v>
      </c>
      <c r="G307" s="161"/>
      <c r="H307" s="161"/>
      <c r="I307" s="162"/>
      <c r="J307" s="163">
        <f>SUM(J299:J306)</f>
        <v>167.78464195778037</v>
      </c>
    </row>
    <row r="308" spans="2:10" ht="18.75" x14ac:dyDescent="0.4">
      <c r="J308" s="167">
        <f>+J307/-C299</f>
        <v>2.4858284343488726</v>
      </c>
    </row>
  </sheetData>
  <mergeCells count="23">
    <mergeCell ref="C39:C40"/>
    <mergeCell ref="D39:D40"/>
    <mergeCell ref="E39:E40"/>
    <mergeCell ref="F39:F40"/>
    <mergeCell ref="G39:G40"/>
    <mergeCell ref="C262:C263"/>
    <mergeCell ref="D262:D263"/>
    <mergeCell ref="E262:E263"/>
    <mergeCell ref="F262:F263"/>
    <mergeCell ref="G262:G263"/>
    <mergeCell ref="C226:O226"/>
    <mergeCell ref="AA145:AB145"/>
    <mergeCell ref="C74:C76"/>
    <mergeCell ref="D74:D76"/>
    <mergeCell ref="E74:E76"/>
    <mergeCell ref="F74:F76"/>
    <mergeCell ref="G74:G76"/>
    <mergeCell ref="M76:M77"/>
    <mergeCell ref="O75:O76"/>
    <mergeCell ref="N75:N76"/>
    <mergeCell ref="H74:H75"/>
    <mergeCell ref="M74:M75"/>
    <mergeCell ref="I127:I128"/>
  </mergeCells>
  <phoneticPr fontId="52" type="noConversion"/>
  <hyperlinks>
    <hyperlink ref="L31" r:id="rId1" xr:uid="{AF6E57FE-CAF5-4FD0-B0F6-6ABC120B0F03}"/>
  </hyperlinks>
  <pageMargins left="0.7" right="0.7" top="0.75" bottom="0.75" header="0.3" footer="0.3"/>
  <pageSetup paperSize="9" orientation="portrait" r:id="rId2"/>
  <drawing r:id="rId3"/>
  <legacy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0B5A26-8928-417D-8985-D979F8CAF8B8}">
  <dimension ref="B14:P96"/>
  <sheetViews>
    <sheetView topLeftCell="A13" zoomScale="85" zoomScaleNormal="85" workbookViewId="0">
      <selection activeCell="E24" sqref="E24"/>
    </sheetView>
  </sheetViews>
  <sheetFormatPr defaultColWidth="10.7109375" defaultRowHeight="15" x14ac:dyDescent="0.25"/>
  <cols>
    <col min="1" max="1" width="10.7109375" style="1"/>
    <col min="2" max="2" width="49.7109375" style="1" customWidth="1"/>
    <col min="3" max="10" width="17.42578125" style="1" customWidth="1"/>
    <col min="11" max="11" width="17.28515625" style="1" bestFit="1" customWidth="1"/>
    <col min="12" max="12" width="17.42578125" style="1" customWidth="1"/>
    <col min="13" max="13" width="17.28515625" style="1" customWidth="1"/>
    <col min="14" max="14" width="16.7109375" style="1" customWidth="1"/>
    <col min="15" max="15" width="17.42578125" style="1" customWidth="1"/>
    <col min="16" max="16" width="18.28515625" style="1" customWidth="1"/>
    <col min="17" max="17" width="17.7109375" style="1" bestFit="1" customWidth="1"/>
    <col min="18" max="18" width="15" style="1" customWidth="1"/>
    <col min="19" max="16384" width="10.7109375" style="1"/>
  </cols>
  <sheetData>
    <row r="14" s="3" customFormat="1" x14ac:dyDescent="0.25"/>
    <row r="17" spans="2:10" ht="30" x14ac:dyDescent="0.4">
      <c r="B17" s="26" t="s">
        <v>223</v>
      </c>
    </row>
    <row r="19" spans="2:10" ht="22.5" x14ac:dyDescent="0.3">
      <c r="B19" s="25" t="s">
        <v>205</v>
      </c>
    </row>
    <row r="20" spans="2:10" ht="30" x14ac:dyDescent="0.4">
      <c r="B20" s="26"/>
      <c r="C20" s="148"/>
      <c r="D20" s="129"/>
      <c r="E20" s="129"/>
      <c r="F20" s="17"/>
    </row>
    <row r="21" spans="2:10" ht="15" customHeight="1" x14ac:dyDescent="0.4">
      <c r="B21" s="26"/>
      <c r="C21" s="198" t="s">
        <v>289</v>
      </c>
      <c r="D21" s="198">
        <v>2025</v>
      </c>
      <c r="E21" s="198">
        <v>2025</v>
      </c>
      <c r="F21" s="17"/>
    </row>
    <row r="22" spans="2:10" x14ac:dyDescent="0.25">
      <c r="C22" s="6" t="s">
        <v>224</v>
      </c>
      <c r="D22" s="6" t="s">
        <v>225</v>
      </c>
      <c r="E22" s="6" t="s">
        <v>226</v>
      </c>
      <c r="F22" s="130"/>
      <c r="G22" s="131"/>
      <c r="H22" s="132"/>
      <c r="I22" s="132"/>
      <c r="J22" s="133"/>
    </row>
    <row r="23" spans="2:10" x14ac:dyDescent="0.25">
      <c r="B23" s="17" t="s">
        <v>206</v>
      </c>
      <c r="C23" s="134">
        <v>23.35</v>
      </c>
      <c r="D23" s="134">
        <v>14.4</v>
      </c>
      <c r="E23" s="134">
        <v>19</v>
      </c>
      <c r="F23" s="131"/>
      <c r="G23" s="131"/>
      <c r="H23" s="132"/>
      <c r="I23" s="132"/>
      <c r="J23" s="133"/>
    </row>
    <row r="24" spans="2:10" x14ac:dyDescent="0.25">
      <c r="B24" s="190" t="s">
        <v>207</v>
      </c>
      <c r="C24" s="134">
        <v>23.1</v>
      </c>
      <c r="D24" s="134">
        <v>16.7</v>
      </c>
      <c r="E24" s="134">
        <v>16.45</v>
      </c>
      <c r="F24" s="131"/>
      <c r="G24" s="63"/>
      <c r="H24" s="63"/>
      <c r="I24" s="63"/>
      <c r="J24" s="63"/>
    </row>
    <row r="25" spans="2:10" x14ac:dyDescent="0.25">
      <c r="B25" s="17" t="s">
        <v>76</v>
      </c>
      <c r="C25" s="135">
        <v>43.7</v>
      </c>
      <c r="D25" s="135">
        <v>18.335481999999999</v>
      </c>
      <c r="E25" s="135">
        <v>84.019000000000005</v>
      </c>
      <c r="F25" s="63"/>
      <c r="G25" s="133"/>
      <c r="H25" s="132"/>
      <c r="I25" s="132"/>
      <c r="J25" s="133"/>
    </row>
    <row r="26" spans="2:10" x14ac:dyDescent="0.25">
      <c r="B26" s="17" t="s">
        <v>208</v>
      </c>
      <c r="C26" s="134">
        <f>+C23*C25</f>
        <v>1020.3950000000001</v>
      </c>
      <c r="D26" s="134">
        <f>+D23*D25</f>
        <v>264.0309408</v>
      </c>
      <c r="E26" s="134">
        <f>+E23*E25</f>
        <v>1596.3610000000001</v>
      </c>
      <c r="F26" s="131"/>
      <c r="G26" s="133"/>
      <c r="H26" s="132"/>
      <c r="I26" s="132"/>
      <c r="J26" s="133"/>
    </row>
    <row r="27" spans="2:10" x14ac:dyDescent="0.25">
      <c r="B27" s="190" t="s">
        <v>280</v>
      </c>
      <c r="C27" s="134">
        <f>+C24*C25</f>
        <v>1009.4700000000001</v>
      </c>
      <c r="D27" s="134">
        <f t="shared" ref="D27:E27" si="0">+D24*D25</f>
        <v>306.20254939999995</v>
      </c>
      <c r="E27" s="134">
        <f t="shared" si="0"/>
        <v>1382.1125500000001</v>
      </c>
      <c r="F27" s="131"/>
      <c r="G27" s="133"/>
      <c r="H27" s="132"/>
      <c r="I27" s="132"/>
      <c r="J27" s="133"/>
    </row>
    <row r="28" spans="2:10" x14ac:dyDescent="0.25">
      <c r="B28" s="17" t="s">
        <v>40</v>
      </c>
      <c r="C28" s="134">
        <v>266.10000000000002</v>
      </c>
      <c r="D28" s="134">
        <v>137.34700000000001</v>
      </c>
      <c r="E28" s="134">
        <v>1074.009</v>
      </c>
      <c r="F28" s="134"/>
      <c r="G28" s="133"/>
      <c r="H28" s="132"/>
      <c r="I28" s="132"/>
      <c r="J28" s="133"/>
    </row>
    <row r="29" spans="2:10" x14ac:dyDescent="0.25">
      <c r="B29" s="17" t="s">
        <v>209</v>
      </c>
      <c r="C29" s="134">
        <v>75.287999999999997</v>
      </c>
      <c r="D29" s="134">
        <v>27.97</v>
      </c>
      <c r="E29" s="134">
        <v>188.548</v>
      </c>
      <c r="F29" s="133"/>
      <c r="G29" s="133"/>
      <c r="H29" s="132"/>
      <c r="I29" s="132"/>
      <c r="J29" s="133"/>
    </row>
    <row r="30" spans="2:10" x14ac:dyDescent="0.25">
      <c r="B30" s="17" t="s">
        <v>210</v>
      </c>
      <c r="C30" s="134">
        <v>14.837</v>
      </c>
      <c r="D30" s="134">
        <v>3.7229999999999999</v>
      </c>
      <c r="E30" s="134">
        <v>219.61600000000001</v>
      </c>
      <c r="F30" s="133"/>
      <c r="G30" s="133"/>
      <c r="H30" s="132"/>
      <c r="I30" s="132"/>
      <c r="J30" s="133"/>
    </row>
    <row r="31" spans="2:10" x14ac:dyDescent="0.25">
      <c r="B31" s="17" t="s">
        <v>211</v>
      </c>
      <c r="C31" s="134">
        <f>+C26+C28-C29+C30</f>
        <v>1226.0440000000001</v>
      </c>
      <c r="D31" s="134">
        <f>+D26+D28-D29+D30</f>
        <v>377.13094080000002</v>
      </c>
      <c r="E31" s="134">
        <f>+E26+E28-E29+E30</f>
        <v>2701.4380000000001</v>
      </c>
      <c r="F31" s="131"/>
      <c r="G31" s="133"/>
      <c r="H31" s="132"/>
      <c r="I31" s="132"/>
      <c r="J31" s="133"/>
    </row>
    <row r="32" spans="2:10" x14ac:dyDescent="0.25">
      <c r="B32" s="190" t="s">
        <v>281</v>
      </c>
      <c r="C32" s="134">
        <f>+C27+C28-C29+C30</f>
        <v>1215.1190000000001</v>
      </c>
      <c r="D32" s="134">
        <f t="shared" ref="D32:E32" si="1">+D27+D28-D29+D30</f>
        <v>419.30254939999992</v>
      </c>
      <c r="E32" s="134">
        <f t="shared" si="1"/>
        <v>2487.1895500000001</v>
      </c>
      <c r="F32" s="131"/>
      <c r="G32" s="133"/>
      <c r="H32" s="132"/>
      <c r="I32" s="132"/>
      <c r="J32" s="133"/>
    </row>
    <row r="33" spans="2:10" x14ac:dyDescent="0.25">
      <c r="B33" s="17" t="s">
        <v>212</v>
      </c>
      <c r="C33" s="134">
        <v>1156.19</v>
      </c>
      <c r="D33" s="134">
        <v>208.27600000000001</v>
      </c>
      <c r="E33" s="134">
        <v>704.63300000000004</v>
      </c>
      <c r="F33" s="133"/>
      <c r="G33" s="133"/>
      <c r="H33" s="132"/>
      <c r="I33" s="132"/>
      <c r="J33" s="133"/>
    </row>
    <row r="34" spans="2:10" x14ac:dyDescent="0.25">
      <c r="B34" s="17" t="s">
        <v>213</v>
      </c>
      <c r="C34" s="134">
        <v>210.285</v>
      </c>
      <c r="D34" s="134">
        <v>56.167000000000002</v>
      </c>
      <c r="E34" s="134">
        <v>164.56700000000001</v>
      </c>
      <c r="F34" s="133"/>
      <c r="G34" s="60"/>
      <c r="H34" s="60"/>
      <c r="I34" s="60"/>
      <c r="J34" s="60"/>
    </row>
    <row r="35" spans="2:10" x14ac:dyDescent="0.25">
      <c r="B35" s="17" t="s">
        <v>214</v>
      </c>
      <c r="C35" s="136">
        <f>+C34/C33</f>
        <v>0.18187754607806675</v>
      </c>
      <c r="D35" s="136">
        <f>+D34/D33</f>
        <v>0.26967581478422864</v>
      </c>
      <c r="E35" s="136">
        <f>+E34/E33</f>
        <v>0.23354994727751893</v>
      </c>
      <c r="F35" s="137"/>
      <c r="G35" s="133"/>
      <c r="H35" s="132"/>
      <c r="I35" s="132"/>
      <c r="J35" s="133"/>
    </row>
    <row r="36" spans="2:10" x14ac:dyDescent="0.25">
      <c r="B36" s="17" t="s">
        <v>1</v>
      </c>
      <c r="C36" s="134">
        <v>164.48699999999999</v>
      </c>
      <c r="D36" s="134">
        <v>44.790999999999997</v>
      </c>
      <c r="E36" s="134">
        <f>+E34+4.951</f>
        <v>169.518</v>
      </c>
      <c r="F36" s="134"/>
      <c r="G36" s="60"/>
      <c r="H36" s="60"/>
      <c r="I36" s="60"/>
      <c r="J36" s="60"/>
    </row>
    <row r="37" spans="2:10" x14ac:dyDescent="0.25">
      <c r="B37" s="17" t="s">
        <v>215</v>
      </c>
      <c r="C37" s="136">
        <f>+C36/C33</f>
        <v>0.14226640950016864</v>
      </c>
      <c r="D37" s="136">
        <f>+D36/D33</f>
        <v>0.21505598340663348</v>
      </c>
      <c r="E37" s="136">
        <f>+E36/E33</f>
        <v>0.24057630000298028</v>
      </c>
      <c r="F37" s="137"/>
      <c r="G37" s="138"/>
      <c r="H37" s="132"/>
      <c r="I37" s="132"/>
      <c r="J37" s="138"/>
    </row>
    <row r="38" spans="2:10" x14ac:dyDescent="0.25">
      <c r="B38" s="17" t="s">
        <v>216</v>
      </c>
      <c r="C38" s="139">
        <v>149.715</v>
      </c>
      <c r="D38" s="139">
        <v>39.33</v>
      </c>
      <c r="E38" s="139">
        <v>123.25</v>
      </c>
      <c r="F38" s="138"/>
      <c r="G38" s="138"/>
      <c r="H38" s="132"/>
      <c r="I38" s="132"/>
      <c r="J38" s="138"/>
    </row>
    <row r="39" spans="2:10" x14ac:dyDescent="0.25">
      <c r="B39" s="17" t="s">
        <v>217</v>
      </c>
      <c r="C39" s="139">
        <v>191.316</v>
      </c>
      <c r="D39" s="139">
        <v>41.301000000000002</v>
      </c>
      <c r="E39" s="139">
        <v>211.29</v>
      </c>
      <c r="F39" s="138"/>
      <c r="G39" s="138"/>
      <c r="H39" s="195"/>
      <c r="I39" s="132"/>
      <c r="J39" s="138"/>
    </row>
    <row r="40" spans="2:10" x14ac:dyDescent="0.25">
      <c r="B40" s="17" t="s">
        <v>218</v>
      </c>
      <c r="C40" s="139">
        <f>14.599+2.27</f>
        <v>16.869</v>
      </c>
      <c r="D40" s="139">
        <f>14+167+475</f>
        <v>656</v>
      </c>
      <c r="E40" s="139">
        <f>1.109+0.136</f>
        <v>1.2450000000000001</v>
      </c>
      <c r="F40" s="138"/>
      <c r="G40" s="140"/>
      <c r="H40" s="196"/>
    </row>
    <row r="41" spans="2:10" ht="15" customHeight="1" x14ac:dyDescent="0.25">
      <c r="B41" s="17"/>
    </row>
    <row r="42" spans="2:10" ht="15" customHeight="1" x14ac:dyDescent="0.25">
      <c r="B42" s="17"/>
      <c r="C42" s="195" t="s">
        <v>282</v>
      </c>
    </row>
    <row r="43" spans="2:10" ht="15" customHeight="1" x14ac:dyDescent="0.4">
      <c r="B43" s="193" t="s">
        <v>219</v>
      </c>
      <c r="C43" s="192">
        <f>+IFERROR(C26/C38,"NA")</f>
        <v>6.8155829409210842</v>
      </c>
      <c r="D43" s="192">
        <f>+IFERROR(D26/D38,"NA")</f>
        <v>6.7132199542334101</v>
      </c>
      <c r="E43" s="192">
        <f>+IFERROR(E26/E38,"NA")</f>
        <v>12.95221906693712</v>
      </c>
      <c r="F43" s="70"/>
      <c r="G43" s="70"/>
    </row>
    <row r="44" spans="2:10" ht="15" customHeight="1" x14ac:dyDescent="0.4">
      <c r="B44" s="193" t="s">
        <v>220</v>
      </c>
      <c r="C44" s="192">
        <f>IFERROR(C31/C34,"NA")</f>
        <v>5.8303920869296437</v>
      </c>
      <c r="D44" s="192">
        <f>IFERROR(D31/D34,"NA")</f>
        <v>6.7144576139014012</v>
      </c>
      <c r="E44" s="192">
        <f>IFERROR(E31/E34,"NA")</f>
        <v>16.415429581872427</v>
      </c>
      <c r="F44" s="70"/>
      <c r="G44" s="70"/>
    </row>
    <row r="45" spans="2:10" ht="15" customHeight="1" x14ac:dyDescent="0.4">
      <c r="B45" s="193" t="s">
        <v>43</v>
      </c>
      <c r="C45" s="192">
        <f>IFERROR(C31/C36,"NA")</f>
        <v>7.4537440648805084</v>
      </c>
      <c r="D45" s="192">
        <f>IFERROR(D31/D36,"NA")</f>
        <v>8.4197928333817078</v>
      </c>
      <c r="E45" s="192">
        <f>IFERROR(E31/E36,"NA")</f>
        <v>15.935994997581378</v>
      </c>
      <c r="F45" s="141"/>
      <c r="G45" s="141"/>
    </row>
    <row r="46" spans="2:10" x14ac:dyDescent="0.25">
      <c r="B46" s="193" t="s">
        <v>233</v>
      </c>
      <c r="C46" s="192">
        <f>+C28/C36</f>
        <v>1.6177570263911436</v>
      </c>
      <c r="D46" s="192">
        <f t="shared" ref="D46:E46" si="2">+D28/D36</f>
        <v>3.0663972673081652</v>
      </c>
      <c r="E46" s="192">
        <f t="shared" si="2"/>
        <v>6.3356634693660849</v>
      </c>
      <c r="G46" s="17"/>
    </row>
    <row r="47" spans="2:10" ht="15" customHeight="1" x14ac:dyDescent="0.25">
      <c r="B47" s="17"/>
      <c r="C47" s="191"/>
      <c r="D47" s="191"/>
      <c r="E47" s="191"/>
      <c r="G47" s="17"/>
    </row>
    <row r="48" spans="2:10" ht="15" customHeight="1" x14ac:dyDescent="0.25">
      <c r="B48" s="17"/>
      <c r="C48" s="196" t="s">
        <v>283</v>
      </c>
      <c r="D48" s="191"/>
      <c r="E48" s="191"/>
      <c r="G48" s="17"/>
    </row>
    <row r="49" spans="2:10" ht="15" customHeight="1" x14ac:dyDescent="0.25">
      <c r="B49" s="193" t="s">
        <v>219</v>
      </c>
      <c r="C49" s="192">
        <f>+IFERROR(C27/C38,"NA")</f>
        <v>6.7426109608255693</v>
      </c>
      <c r="D49" s="192">
        <f t="shared" ref="D49:E49" si="3">+IFERROR(D27/D38,"NA")</f>
        <v>7.7854703635901341</v>
      </c>
      <c r="E49" s="192">
        <f t="shared" si="3"/>
        <v>11.213894929006086</v>
      </c>
      <c r="G49" s="17"/>
    </row>
    <row r="50" spans="2:10" ht="15" customHeight="1" x14ac:dyDescent="0.25">
      <c r="B50" s="193" t="s">
        <v>220</v>
      </c>
      <c r="C50" s="192">
        <f>IFERROR(C32/C34,"NA")</f>
        <v>5.7784387854578316</v>
      </c>
      <c r="D50" s="192">
        <f t="shared" ref="D50:E50" si="4">IFERROR(D32/D34,"NA")</f>
        <v>7.4652829846707123</v>
      </c>
      <c r="E50" s="192">
        <f t="shared" si="4"/>
        <v>15.113537647280438</v>
      </c>
      <c r="G50" s="17"/>
    </row>
    <row r="51" spans="2:10" ht="15" customHeight="1" x14ac:dyDescent="0.25">
      <c r="B51" s="193" t="s">
        <v>43</v>
      </c>
      <c r="C51" s="192">
        <f>IFERROR(C32/C36,"NA")</f>
        <v>7.3873254421322061</v>
      </c>
      <c r="D51" s="192">
        <f t="shared" ref="D51:E51" si="5">IFERROR(D32/D36,"NA")</f>
        <v>9.3613125270701687</v>
      </c>
      <c r="E51" s="192">
        <f t="shared" si="5"/>
        <v>14.672126558831511</v>
      </c>
      <c r="G51" s="17"/>
    </row>
    <row r="52" spans="2:10" x14ac:dyDescent="0.25">
      <c r="E52" s="142"/>
    </row>
    <row r="53" spans="2:10" s="3" customFormat="1" x14ac:dyDescent="0.25"/>
    <row r="55" spans="2:10" ht="30" x14ac:dyDescent="0.4">
      <c r="B55" s="26" t="s">
        <v>291</v>
      </c>
    </row>
    <row r="56" spans="2:10" x14ac:dyDescent="0.25">
      <c r="B56" s="194" t="s">
        <v>279</v>
      </c>
      <c r="C56" s="197" t="s">
        <v>287</v>
      </c>
    </row>
    <row r="57" spans="2:10" x14ac:dyDescent="0.25">
      <c r="C57" s="6" t="s">
        <v>227</v>
      </c>
      <c r="D57" s="6" t="s">
        <v>228</v>
      </c>
      <c r="E57" s="6" t="s">
        <v>229</v>
      </c>
      <c r="F57" s="6" t="s">
        <v>230</v>
      </c>
      <c r="G57" s="6" t="s">
        <v>231</v>
      </c>
      <c r="H57" s="6" t="s">
        <v>232</v>
      </c>
      <c r="I57" s="6" t="s">
        <v>275</v>
      </c>
      <c r="J57" s="6" t="s">
        <v>277</v>
      </c>
    </row>
    <row r="58" spans="2:10" x14ac:dyDescent="0.25">
      <c r="B58" s="17" t="s">
        <v>221</v>
      </c>
      <c r="C58" s="143">
        <v>32</v>
      </c>
      <c r="D58" s="143">
        <v>22.06</v>
      </c>
      <c r="E58" s="143">
        <v>21.6</v>
      </c>
      <c r="F58" s="143">
        <v>21.1</v>
      </c>
      <c r="G58" s="143">
        <v>24.1</v>
      </c>
      <c r="H58" s="143">
        <v>13.78</v>
      </c>
      <c r="I58" s="143">
        <v>25.5</v>
      </c>
      <c r="J58" s="143">
        <v>23.35</v>
      </c>
    </row>
    <row r="59" spans="2:10" x14ac:dyDescent="0.25">
      <c r="B59" s="17" t="s">
        <v>76</v>
      </c>
      <c r="C59" s="144">
        <v>47.966586999999997</v>
      </c>
      <c r="D59" s="144">
        <v>47.966586999999997</v>
      </c>
      <c r="E59" s="144">
        <v>47.966586999999997</v>
      </c>
      <c r="F59" s="144">
        <v>47.966586999999997</v>
      </c>
      <c r="G59" s="144">
        <v>46.806536999999999</v>
      </c>
      <c r="H59" s="144">
        <v>46.806536999999999</v>
      </c>
      <c r="I59" s="144">
        <v>43.7</v>
      </c>
      <c r="J59" s="144">
        <v>43.7</v>
      </c>
    </row>
    <row r="60" spans="2:10" x14ac:dyDescent="0.25">
      <c r="B60" s="17" t="s">
        <v>39</v>
      </c>
      <c r="C60" s="143">
        <f t="shared" ref="C60:I60" si="6">+IFERROR(C59*C58,"n/a")</f>
        <v>1534.9307839999999</v>
      </c>
      <c r="D60" s="143">
        <f t="shared" si="6"/>
        <v>1058.1429092199999</v>
      </c>
      <c r="E60" s="143">
        <f t="shared" si="6"/>
        <v>1036.0782792</v>
      </c>
      <c r="F60" s="143">
        <f t="shared" si="6"/>
        <v>1012.0949857000001</v>
      </c>
      <c r="G60" s="143">
        <f t="shared" si="6"/>
        <v>1128.0375417</v>
      </c>
      <c r="H60" s="143">
        <f t="shared" si="6"/>
        <v>644.99407985999994</v>
      </c>
      <c r="I60" s="143">
        <f t="shared" si="6"/>
        <v>1114.3500000000001</v>
      </c>
      <c r="J60" s="143">
        <f t="shared" ref="J60" si="7">+IFERROR(J59*J58,"n/a")</f>
        <v>1020.3950000000001</v>
      </c>
    </row>
    <row r="61" spans="2:10" x14ac:dyDescent="0.25">
      <c r="B61" s="17" t="s">
        <v>112</v>
      </c>
      <c r="C61" s="143">
        <v>79.822667999999993</v>
      </c>
      <c r="D61" s="143">
        <v>311.65362099999999</v>
      </c>
      <c r="E61" s="143">
        <v>70.040083999999993</v>
      </c>
      <c r="F61" s="143">
        <v>671.946102</v>
      </c>
      <c r="G61" s="143">
        <v>765.62020600000005</v>
      </c>
      <c r="H61" s="143">
        <v>919.81226500000002</v>
      </c>
      <c r="I61" s="143">
        <v>1144.67</v>
      </c>
      <c r="J61" s="143">
        <v>1156.19</v>
      </c>
    </row>
    <row r="62" spans="2:10" x14ac:dyDescent="0.25">
      <c r="B62" s="17" t="s">
        <v>1</v>
      </c>
      <c r="C62" s="143">
        <f>+C64+0.349282+0.019009</f>
        <v>-4.4634020000000003</v>
      </c>
      <c r="D62" s="143">
        <f>+D64+1.522759+0.003059</f>
        <v>55.668877000000002</v>
      </c>
      <c r="E62" s="143">
        <v>7.9434170000000002</v>
      </c>
      <c r="F62" s="143">
        <v>133.22182799999999</v>
      </c>
      <c r="G62" s="143">
        <v>148.933075</v>
      </c>
      <c r="H62" s="143">
        <v>155.50996000000001</v>
      </c>
      <c r="I62" s="143">
        <v>172.89</v>
      </c>
      <c r="J62" s="143">
        <v>164.48699999999999</v>
      </c>
    </row>
    <row r="63" spans="2:10" x14ac:dyDescent="0.25">
      <c r="B63" s="17" t="s">
        <v>215</v>
      </c>
      <c r="C63" s="147">
        <f t="shared" ref="C63:I63" si="8">IFERROR(+C62/C61,"n/a")</f>
        <v>-5.5916472248209004E-2</v>
      </c>
      <c r="D63" s="147">
        <f t="shared" si="8"/>
        <v>0.17862419445465069</v>
      </c>
      <c r="E63" s="147">
        <f t="shared" si="8"/>
        <v>0.11341244250934937</v>
      </c>
      <c r="F63" s="147">
        <f t="shared" si="8"/>
        <v>0.19826266958536504</v>
      </c>
      <c r="G63" s="147">
        <f t="shared" si="8"/>
        <v>0.19452605068785239</v>
      </c>
      <c r="H63" s="147">
        <f t="shared" si="8"/>
        <v>0.1690670650059227</v>
      </c>
      <c r="I63" s="147">
        <f t="shared" si="8"/>
        <v>0.15103916412590526</v>
      </c>
      <c r="J63" s="147">
        <f t="shared" ref="J63" si="9">IFERROR(+J62/J61,"n/a")</f>
        <v>0.14226640950016864</v>
      </c>
    </row>
    <row r="64" spans="2:10" x14ac:dyDescent="0.25">
      <c r="B64" s="17" t="s">
        <v>2</v>
      </c>
      <c r="C64" s="143">
        <v>-4.8316929999999996</v>
      </c>
      <c r="D64" s="143">
        <v>54.143059000000001</v>
      </c>
      <c r="E64" s="143">
        <v>7.4717690000000001</v>
      </c>
      <c r="F64" s="143">
        <v>128.173011</v>
      </c>
      <c r="G64" s="143">
        <v>144.43158700000001</v>
      </c>
      <c r="H64" s="143">
        <v>158.19101900000001</v>
      </c>
      <c r="I64" s="143">
        <v>171.31</v>
      </c>
      <c r="J64" s="143">
        <v>210.285</v>
      </c>
    </row>
    <row r="65" spans="2:10" x14ac:dyDescent="0.25">
      <c r="B65" s="17" t="s">
        <v>222</v>
      </c>
      <c r="C65" s="147">
        <f t="shared" ref="C65:I65" si="10">+IFERROR(C64/C61,"n/a")</f>
        <v>-6.0530337071669917E-2</v>
      </c>
      <c r="D65" s="147">
        <f t="shared" si="10"/>
        <v>0.17372831679693529</v>
      </c>
      <c r="E65" s="147">
        <f t="shared" si="10"/>
        <v>0.10667847000297716</v>
      </c>
      <c r="F65" s="147">
        <f t="shared" si="10"/>
        <v>0.19074894640879991</v>
      </c>
      <c r="G65" s="147">
        <f t="shared" si="10"/>
        <v>0.18864651934225465</v>
      </c>
      <c r="H65" s="147">
        <f t="shared" si="10"/>
        <v>0.17198185436242253</v>
      </c>
      <c r="I65" s="147">
        <f t="shared" si="10"/>
        <v>0.14965885364340814</v>
      </c>
      <c r="J65" s="147">
        <f t="shared" ref="J65" si="11">+IFERROR(J64/J61,"n/a")</f>
        <v>0.18187754607806675</v>
      </c>
    </row>
    <row r="66" spans="2:10" x14ac:dyDescent="0.25">
      <c r="B66" s="17"/>
      <c r="C66" s="145"/>
      <c r="D66" s="145"/>
      <c r="E66" s="145"/>
      <c r="F66" s="145"/>
      <c r="G66" s="145"/>
      <c r="H66" s="145"/>
    </row>
    <row r="68" spans="2:10" s="3" customFormat="1" x14ac:dyDescent="0.25"/>
    <row r="70" spans="2:10" ht="30" x14ac:dyDescent="0.4">
      <c r="B70" s="26" t="s">
        <v>292</v>
      </c>
    </row>
    <row r="71" spans="2:10" x14ac:dyDescent="0.25">
      <c r="B71" s="194" t="s">
        <v>279</v>
      </c>
      <c r="C71" s="197" t="s">
        <v>286</v>
      </c>
    </row>
    <row r="72" spans="2:10" x14ac:dyDescent="0.25">
      <c r="C72" s="6">
        <v>2018</v>
      </c>
      <c r="D72" s="6">
        <v>2019</v>
      </c>
      <c r="E72" s="6">
        <v>2020</v>
      </c>
      <c r="F72" s="6">
        <v>2021</v>
      </c>
      <c r="G72" s="6">
        <v>2022</v>
      </c>
      <c r="H72" s="6">
        <v>2023</v>
      </c>
      <c r="I72" s="6">
        <v>2024</v>
      </c>
      <c r="J72" s="6">
        <v>2025</v>
      </c>
    </row>
    <row r="73" spans="2:10" x14ac:dyDescent="0.25">
      <c r="B73" s="17" t="s">
        <v>221</v>
      </c>
      <c r="C73" s="143">
        <v>13.395</v>
      </c>
      <c r="D73" s="143">
        <v>10.199999999999999</v>
      </c>
      <c r="E73" s="143">
        <v>8.1999999999999993</v>
      </c>
      <c r="F73" s="143">
        <v>7.72</v>
      </c>
      <c r="G73" s="143">
        <v>7.6</v>
      </c>
      <c r="H73" s="143">
        <v>7</v>
      </c>
      <c r="I73" s="143">
        <v>8.9499999999999993</v>
      </c>
      <c r="J73" s="143">
        <v>14.4</v>
      </c>
    </row>
    <row r="74" spans="2:10" x14ac:dyDescent="0.25">
      <c r="B74" s="17" t="s">
        <v>76</v>
      </c>
      <c r="C74" s="144">
        <v>16.839435999999999</v>
      </c>
      <c r="D74" s="144">
        <v>16.837578000000001</v>
      </c>
      <c r="E74" s="144">
        <v>16.774115999999999</v>
      </c>
      <c r="F74" s="144">
        <v>17.754252999999999</v>
      </c>
      <c r="G74" s="144">
        <v>18.556070999999999</v>
      </c>
      <c r="H74" s="144">
        <v>18.484456000000002</v>
      </c>
      <c r="I74" s="144">
        <v>18.420963</v>
      </c>
      <c r="J74" s="144">
        <v>18.335481999999999</v>
      </c>
    </row>
    <row r="75" spans="2:10" x14ac:dyDescent="0.25">
      <c r="B75" s="17" t="s">
        <v>39</v>
      </c>
      <c r="C75" s="143">
        <f t="shared" ref="C75:G75" si="12">+IFERROR(C74*C73,"n/a")</f>
        <v>225.56424521999998</v>
      </c>
      <c r="D75" s="143">
        <f t="shared" si="12"/>
        <v>171.74329559999998</v>
      </c>
      <c r="E75" s="143">
        <f t="shared" si="12"/>
        <v>137.54775119999999</v>
      </c>
      <c r="F75" s="143">
        <f t="shared" si="12"/>
        <v>137.06283316</v>
      </c>
      <c r="G75" s="143">
        <f t="shared" si="12"/>
        <v>141.02613959999999</v>
      </c>
      <c r="H75" s="143">
        <f t="shared" ref="H75:I75" si="13">+IFERROR(H74*H73,"n/a")</f>
        <v>129.39119200000002</v>
      </c>
      <c r="I75" s="143">
        <f t="shared" si="13"/>
        <v>164.86761884999999</v>
      </c>
      <c r="J75" s="143">
        <f t="shared" ref="J75" si="14">+IFERROR(J74*J73,"n/a")</f>
        <v>264.0309408</v>
      </c>
    </row>
    <row r="76" spans="2:10" x14ac:dyDescent="0.25">
      <c r="B76" s="17" t="s">
        <v>112</v>
      </c>
      <c r="C76" s="143">
        <v>120.324</v>
      </c>
      <c r="D76" s="143">
        <v>121.626</v>
      </c>
      <c r="E76" s="143">
        <v>87.65</v>
      </c>
      <c r="F76" s="143">
        <v>105.40300000000001</v>
      </c>
      <c r="G76" s="143">
        <v>116.53</v>
      </c>
      <c r="H76" s="143">
        <v>138.21</v>
      </c>
      <c r="I76" s="143">
        <v>164.49100000000001</v>
      </c>
      <c r="J76" s="143">
        <v>208.27600000000001</v>
      </c>
    </row>
    <row r="77" spans="2:10" x14ac:dyDescent="0.25">
      <c r="B77" s="17" t="s">
        <v>1</v>
      </c>
      <c r="C77" s="143">
        <v>23.483000000000001</v>
      </c>
      <c r="D77" s="143">
        <v>26.518999999999998</v>
      </c>
      <c r="E77" s="143">
        <v>19.68</v>
      </c>
      <c r="F77" s="143">
        <v>26.204000000000001</v>
      </c>
      <c r="G77" s="143">
        <v>23.244</v>
      </c>
      <c r="H77" s="143">
        <v>31.518999999999998</v>
      </c>
      <c r="I77" s="143">
        <v>36.848999999999997</v>
      </c>
      <c r="J77" s="143">
        <v>44.790999999999997</v>
      </c>
    </row>
    <row r="78" spans="2:10" x14ac:dyDescent="0.25">
      <c r="B78" s="17" t="s">
        <v>215</v>
      </c>
      <c r="C78" s="147">
        <f t="shared" ref="C78:G78" si="15">IFERROR(+C77/C76,"n/a")</f>
        <v>0.19516472191748946</v>
      </c>
      <c r="D78" s="147">
        <f t="shared" si="15"/>
        <v>0.21803726176968738</v>
      </c>
      <c r="E78" s="147">
        <f t="shared" si="15"/>
        <v>0.22452937820878494</v>
      </c>
      <c r="F78" s="147">
        <f t="shared" si="15"/>
        <v>0.24860772463781866</v>
      </c>
      <c r="G78" s="147">
        <f t="shared" si="15"/>
        <v>0.19946794816785376</v>
      </c>
      <c r="H78" s="147">
        <f t="shared" ref="H78:I78" si="16">IFERROR(+H77/H76,"n/a")</f>
        <v>0.22805151580927571</v>
      </c>
      <c r="I78" s="147">
        <f t="shared" si="16"/>
        <v>0.22401833534965435</v>
      </c>
      <c r="J78" s="147">
        <f t="shared" ref="J78" si="17">IFERROR(+J77/J76,"n/a")</f>
        <v>0.21505598340663348</v>
      </c>
    </row>
    <row r="79" spans="2:10" x14ac:dyDescent="0.25">
      <c r="B79" s="17" t="s">
        <v>2</v>
      </c>
      <c r="C79" s="143">
        <v>19.178000000000001</v>
      </c>
      <c r="D79" s="143">
        <v>22.161000000000001</v>
      </c>
      <c r="E79" s="143">
        <v>31.489000000000001</v>
      </c>
      <c r="F79" s="143">
        <v>20.074000000000002</v>
      </c>
      <c r="G79" s="143">
        <v>21.209</v>
      </c>
      <c r="H79" s="143">
        <v>22.757000000000001</v>
      </c>
      <c r="I79" s="143">
        <v>32.917000000000002</v>
      </c>
      <c r="J79" s="143">
        <v>56.167000000000002</v>
      </c>
    </row>
    <row r="80" spans="2:10" x14ac:dyDescent="0.25">
      <c r="B80" s="17" t="s">
        <v>222</v>
      </c>
      <c r="C80" s="147">
        <f t="shared" ref="C80:G80" si="18">+IFERROR(C79/C76,"n/a")</f>
        <v>0.15938632359296567</v>
      </c>
      <c r="D80" s="147">
        <f t="shared" si="18"/>
        <v>0.18220610724680578</v>
      </c>
      <c r="E80" s="147">
        <f t="shared" si="18"/>
        <v>0.35925841414717624</v>
      </c>
      <c r="F80" s="147">
        <f t="shared" si="18"/>
        <v>0.19044998719201542</v>
      </c>
      <c r="G80" s="147">
        <f t="shared" si="18"/>
        <v>0.18200463399982836</v>
      </c>
      <c r="H80" s="147">
        <f t="shared" ref="H80:I80" si="19">+IFERROR(H79/H76,"n/a")</f>
        <v>0.16465523478764199</v>
      </c>
      <c r="I80" s="147">
        <f t="shared" si="19"/>
        <v>0.20011429196734168</v>
      </c>
      <c r="J80" s="147">
        <f t="shared" ref="J80" si="20">+IFERROR(J79/J76,"n/a")</f>
        <v>0.26967581478422864</v>
      </c>
    </row>
    <row r="81" spans="2:16" x14ac:dyDescent="0.25">
      <c r="B81" s="17"/>
      <c r="C81" s="17"/>
      <c r="D81" s="17"/>
      <c r="E81" s="17"/>
      <c r="F81" s="17"/>
      <c r="G81" s="17"/>
      <c r="H81" s="17"/>
      <c r="I81" s="17"/>
      <c r="J81" s="145"/>
      <c r="K81" s="145"/>
      <c r="L81" s="145"/>
      <c r="M81" s="145"/>
      <c r="N81" s="145"/>
      <c r="O81" s="145"/>
      <c r="P81" s="145"/>
    </row>
    <row r="82" spans="2:16" s="3" customFormat="1" x14ac:dyDescent="0.25"/>
    <row r="84" spans="2:16" ht="30" x14ac:dyDescent="0.4">
      <c r="B84" s="26" t="s">
        <v>293</v>
      </c>
    </row>
    <row r="85" spans="2:16" x14ac:dyDescent="0.25">
      <c r="B85" s="194" t="s">
        <v>279</v>
      </c>
      <c r="C85" s="197" t="s">
        <v>288</v>
      </c>
    </row>
    <row r="86" spans="2:16" x14ac:dyDescent="0.25">
      <c r="C86" s="6">
        <v>2017</v>
      </c>
      <c r="D86" s="6">
        <v>2018</v>
      </c>
      <c r="E86" s="6">
        <v>2019</v>
      </c>
      <c r="F86" s="6">
        <v>2020</v>
      </c>
      <c r="G86" s="6">
        <v>2021</v>
      </c>
      <c r="H86" s="6">
        <v>2022</v>
      </c>
      <c r="I86" s="6">
        <v>2023</v>
      </c>
      <c r="J86" s="6">
        <v>2024</v>
      </c>
      <c r="K86" s="6">
        <v>2025</v>
      </c>
    </row>
    <row r="87" spans="2:16" x14ac:dyDescent="0.25">
      <c r="B87" s="17" t="s">
        <v>221</v>
      </c>
      <c r="C87" s="143">
        <v>18.899999999999999</v>
      </c>
      <c r="D87" s="143">
        <v>12.96</v>
      </c>
      <c r="E87" s="143">
        <v>11.7</v>
      </c>
      <c r="F87" s="143">
        <v>10.9</v>
      </c>
      <c r="G87" s="143">
        <v>10.54</v>
      </c>
      <c r="H87" s="143">
        <v>8.18</v>
      </c>
      <c r="I87" s="143">
        <v>9.9700000000000006</v>
      </c>
      <c r="J87" s="143">
        <v>15.08</v>
      </c>
      <c r="K87" s="143">
        <v>19</v>
      </c>
    </row>
    <row r="88" spans="2:16" x14ac:dyDescent="0.25">
      <c r="B88" s="17" t="s">
        <v>76</v>
      </c>
      <c r="C88" s="144">
        <v>182.78800000000001</v>
      </c>
      <c r="D88" s="144">
        <v>78.037999999999997</v>
      </c>
      <c r="E88" s="144">
        <v>76.043000000000006</v>
      </c>
      <c r="F88" s="144">
        <v>73.930000000000007</v>
      </c>
      <c r="G88" s="144">
        <v>76.613</v>
      </c>
      <c r="H88" s="144">
        <v>60.460999999999999</v>
      </c>
      <c r="I88" s="144">
        <v>74.421000000000006</v>
      </c>
      <c r="J88" s="144">
        <v>74.587999999999994</v>
      </c>
      <c r="K88" s="144">
        <v>84.019000000000005</v>
      </c>
    </row>
    <row r="89" spans="2:16" x14ac:dyDescent="0.25">
      <c r="B89" s="17" t="s">
        <v>39</v>
      </c>
      <c r="C89" s="143">
        <f t="shared" ref="C89:H89" si="21">+IFERROR(C88*C87,"n/a")</f>
        <v>3454.6932000000002</v>
      </c>
      <c r="D89" s="143">
        <f t="shared" si="21"/>
        <v>1011.37248</v>
      </c>
      <c r="E89" s="143">
        <f t="shared" si="21"/>
        <v>889.70310000000006</v>
      </c>
      <c r="F89" s="143">
        <f t="shared" si="21"/>
        <v>805.8370000000001</v>
      </c>
      <c r="G89" s="143">
        <f t="shared" si="21"/>
        <v>807.50101999999993</v>
      </c>
      <c r="H89" s="143">
        <f t="shared" si="21"/>
        <v>494.57097999999996</v>
      </c>
      <c r="I89" s="143">
        <f t="shared" ref="I89:J89" si="22">+IFERROR(I88*I87,"n/a")</f>
        <v>741.97737000000006</v>
      </c>
      <c r="J89" s="143">
        <f t="shared" si="22"/>
        <v>1124.7870399999999</v>
      </c>
      <c r="K89" s="143">
        <f t="shared" ref="K89" si="23">+IFERROR(K88*K87,"n/a")</f>
        <v>1596.3610000000001</v>
      </c>
    </row>
    <row r="90" spans="2:16" x14ac:dyDescent="0.25">
      <c r="B90" s="17" t="s">
        <v>112</v>
      </c>
      <c r="C90" s="143">
        <v>220.38800000000001</v>
      </c>
      <c r="D90" s="143">
        <v>379.98599999999999</v>
      </c>
      <c r="E90" s="143">
        <v>488.85700000000003</v>
      </c>
      <c r="F90" s="143">
        <v>572.80100000000004</v>
      </c>
      <c r="G90" s="143">
        <v>914.30100000000004</v>
      </c>
      <c r="H90" s="143">
        <v>763.23099999999999</v>
      </c>
      <c r="I90" s="143">
        <v>590.63</v>
      </c>
      <c r="J90" s="143">
        <v>486.69299999999998</v>
      </c>
      <c r="K90" s="143">
        <v>704.63300000000004</v>
      </c>
    </row>
    <row r="91" spans="2:16" x14ac:dyDescent="0.25">
      <c r="B91" s="17" t="s">
        <v>1</v>
      </c>
      <c r="C91" s="143">
        <v>-17.574000000000002</v>
      </c>
      <c r="D91" s="143">
        <v>52.347999999999999</v>
      </c>
      <c r="E91" s="143">
        <v>94.234999999999999</v>
      </c>
      <c r="F91" s="143">
        <v>100.73399999999999</v>
      </c>
      <c r="G91" s="143">
        <v>146.72900000000001</v>
      </c>
      <c r="H91" s="143">
        <v>146.29300000000001</v>
      </c>
      <c r="I91" s="143">
        <v>118.779</v>
      </c>
      <c r="J91" s="143">
        <v>70.930000000000007</v>
      </c>
      <c r="K91" s="143">
        <f>+K93+4.951</f>
        <v>169.518</v>
      </c>
    </row>
    <row r="92" spans="2:16" x14ac:dyDescent="0.25">
      <c r="B92" s="17" t="s">
        <v>215</v>
      </c>
      <c r="C92" s="147">
        <f t="shared" ref="C92:H92" si="24">IFERROR(+C91/C90,"n/a")</f>
        <v>-7.9741183730511644E-2</v>
      </c>
      <c r="D92" s="147">
        <f t="shared" si="24"/>
        <v>0.13776297021469211</v>
      </c>
      <c r="E92" s="147">
        <f t="shared" si="24"/>
        <v>0.19276598269023457</v>
      </c>
      <c r="F92" s="147">
        <f t="shared" si="24"/>
        <v>0.17586212314573471</v>
      </c>
      <c r="G92" s="147">
        <f t="shared" si="24"/>
        <v>0.160482160688876</v>
      </c>
      <c r="H92" s="147">
        <f t="shared" si="24"/>
        <v>0.19167591463135014</v>
      </c>
      <c r="I92" s="147">
        <f t="shared" ref="I92:J92" si="25">IFERROR(+I91/I90,"n/a")</f>
        <v>0.20110559910603931</v>
      </c>
      <c r="J92" s="147">
        <f t="shared" si="25"/>
        <v>0.14573868948187052</v>
      </c>
      <c r="K92" s="147">
        <f t="shared" ref="K92" si="26">IFERROR(+K91/K90,"n/a")</f>
        <v>0.24057630000298028</v>
      </c>
    </row>
    <row r="93" spans="2:16" x14ac:dyDescent="0.25">
      <c r="B93" s="17" t="s">
        <v>2</v>
      </c>
      <c r="C93" s="143">
        <f>+C91-0.716</f>
        <v>-18.290000000000003</v>
      </c>
      <c r="D93" s="143">
        <v>51.052999999999997</v>
      </c>
      <c r="E93" s="143">
        <v>90.28</v>
      </c>
      <c r="F93" s="143">
        <v>96.638999999999996</v>
      </c>
      <c r="G93" s="143">
        <v>141.82599999999999</v>
      </c>
      <c r="H93" s="143">
        <v>139.11099999999999</v>
      </c>
      <c r="I93" s="143">
        <v>111.285</v>
      </c>
      <c r="J93" s="143">
        <v>66.498999999999995</v>
      </c>
      <c r="K93" s="143">
        <v>164.56700000000001</v>
      </c>
    </row>
    <row r="94" spans="2:16" x14ac:dyDescent="0.25">
      <c r="B94" s="17" t="s">
        <v>222</v>
      </c>
      <c r="C94" s="147">
        <f t="shared" ref="C94:H94" si="27">+IFERROR(C93/C90,"n/a")</f>
        <v>-8.2989999455505753E-2</v>
      </c>
      <c r="D94" s="147">
        <f t="shared" si="27"/>
        <v>0.13435494991920754</v>
      </c>
      <c r="E94" s="147">
        <f t="shared" si="27"/>
        <v>0.18467568225472888</v>
      </c>
      <c r="F94" s="147">
        <f t="shared" si="27"/>
        <v>0.16871304344789897</v>
      </c>
      <c r="G94" s="147">
        <f t="shared" si="27"/>
        <v>0.15511959409428622</v>
      </c>
      <c r="H94" s="147">
        <f t="shared" si="27"/>
        <v>0.18226591949226381</v>
      </c>
      <c r="I94" s="147">
        <f t="shared" ref="I94:J94" si="28">+IFERROR(I93/I90,"n/a")</f>
        <v>0.18841745255066622</v>
      </c>
      <c r="J94" s="147">
        <f t="shared" si="28"/>
        <v>0.13663438759135635</v>
      </c>
      <c r="K94" s="147">
        <f t="shared" ref="K94" si="29">+IFERROR(K93/K90,"n/a")</f>
        <v>0.23354994727751893</v>
      </c>
    </row>
    <row r="95" spans="2:16" x14ac:dyDescent="0.25">
      <c r="K95" s="145"/>
      <c r="L95" s="145"/>
      <c r="M95" s="145"/>
      <c r="N95" s="145"/>
    </row>
    <row r="96" spans="2:16" s="146" customFormat="1" x14ac:dyDescent="0.25"/>
  </sheetData>
  <phoneticPr fontId="52" type="noConversion"/>
  <hyperlinks>
    <hyperlink ref="C71" r:id="rId1" xr:uid="{70C4FF22-ADA8-43EF-8965-6989E4399A0D}"/>
    <hyperlink ref="C56" r:id="rId2" xr:uid="{6CD70D8C-C9A5-4865-8A6C-895D7762E91D}"/>
    <hyperlink ref="C85" r:id="rId3" xr:uid="{EBC5AECE-2D56-4853-A036-0395F6DEA3BB}"/>
  </hyperlinks>
  <pageMargins left="0.7" right="0.7" top="0.75" bottom="0.75" header="0.3" footer="0.3"/>
  <pageSetup paperSize="9" orientation="portrait" r:id="rId4"/>
  <drawing r:id="rId5"/>
  <legacy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B14:G30"/>
  <sheetViews>
    <sheetView zoomScale="70" zoomScaleNormal="70" workbookViewId="0">
      <selection activeCell="C24" sqref="C24"/>
    </sheetView>
  </sheetViews>
  <sheetFormatPr defaultColWidth="10.7109375" defaultRowHeight="15" x14ac:dyDescent="0.25"/>
  <cols>
    <col min="1" max="1" width="10.7109375" style="1" customWidth="1"/>
    <col min="2" max="2" width="13" style="1" customWidth="1"/>
    <col min="3" max="3" width="34.42578125" style="1" bestFit="1" customWidth="1"/>
    <col min="4" max="4" width="40" style="1" customWidth="1"/>
    <col min="5" max="5" width="36.28515625" style="1" customWidth="1"/>
    <col min="6" max="6" width="32.7109375" style="1" bestFit="1" customWidth="1"/>
    <col min="7" max="7" width="37" style="1" customWidth="1"/>
    <col min="8" max="8" width="30.5703125" style="1" bestFit="1" customWidth="1"/>
    <col min="9" max="9" width="14.7109375" style="1" bestFit="1" customWidth="1"/>
    <col min="10" max="10" width="32.7109375" style="1" bestFit="1" customWidth="1"/>
    <col min="11" max="11" width="11.7109375" style="1" bestFit="1" customWidth="1"/>
    <col min="12" max="12" width="27.5703125" style="1" customWidth="1"/>
    <col min="13" max="13" width="11.42578125" style="1" customWidth="1"/>
    <col min="14" max="14" width="57" style="1" customWidth="1"/>
    <col min="15" max="16384" width="10.7109375" style="1"/>
  </cols>
  <sheetData>
    <row r="14" s="3" customFormat="1" x14ac:dyDescent="0.25"/>
    <row r="17" spans="2:7" ht="30" x14ac:dyDescent="0.4">
      <c r="B17" s="214" t="s">
        <v>99</v>
      </c>
      <c r="C17" s="214"/>
      <c r="D17" s="214"/>
      <c r="E17" s="214"/>
      <c r="F17" s="214"/>
      <c r="G17" s="214"/>
    </row>
    <row r="22" spans="2:7" ht="15.75" thickBot="1" x14ac:dyDescent="0.3"/>
    <row r="23" spans="2:7" ht="18" thickBot="1" x14ac:dyDescent="0.4">
      <c r="C23" s="215">
        <v>2026</v>
      </c>
      <c r="D23" s="215"/>
    </row>
    <row r="24" spans="2:7" ht="18" thickBot="1" x14ac:dyDescent="0.4">
      <c r="C24" s="41" t="s">
        <v>47</v>
      </c>
      <c r="D24" s="41" t="s">
        <v>48</v>
      </c>
    </row>
    <row r="25" spans="2:7" ht="15.75" thickBot="1" x14ac:dyDescent="0.3">
      <c r="C25" s="74"/>
      <c r="D25" s="42"/>
    </row>
    <row r="26" spans="2:7" ht="15.75" thickBot="1" x14ac:dyDescent="0.3">
      <c r="C26" s="74"/>
      <c r="D26" s="42"/>
    </row>
    <row r="27" spans="2:7" ht="15.75" thickBot="1" x14ac:dyDescent="0.3">
      <c r="C27" s="74"/>
      <c r="D27" s="42"/>
    </row>
    <row r="28" spans="2:7" ht="15.75" thickBot="1" x14ac:dyDescent="0.3">
      <c r="C28" s="74"/>
      <c r="D28" s="42"/>
    </row>
    <row r="29" spans="2:7" ht="15.75" thickBot="1" x14ac:dyDescent="0.3">
      <c r="C29" s="74"/>
      <c r="D29" s="42"/>
    </row>
    <row r="30" spans="2:7" ht="15.75" thickBot="1" x14ac:dyDescent="0.3">
      <c r="C30" s="74"/>
      <c r="D30" s="42"/>
    </row>
  </sheetData>
  <mergeCells count="2">
    <mergeCell ref="B17:G17"/>
    <mergeCell ref="C23:D23"/>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Libertas 7</vt:lpstr>
      <vt:lpstr>Peer Analysis</vt:lpstr>
      <vt:lpstr>Financial Calendar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2026-07-02T18:57:46Z</dcterms:modified>
  <cp:category/>
  <cp:contentStatus/>
</cp:coreProperties>
</file>