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showInkAnnotation="0" codeName="ThisWorkbook"/>
  <xr:revisionPtr revIDLastSave="0" documentId="13_ncr:1_{8D786267-E971-4C9C-92CE-E4B31E7583CA}" xr6:coauthVersionLast="47" xr6:coauthVersionMax="47" xr10:uidLastSave="{00000000-0000-0000-0000-000000000000}"/>
  <bookViews>
    <workbookView xWindow="-120" yWindow="-120" windowWidth="29040" windowHeight="15840" tabRatio="796" xr2:uid="{00000000-000D-0000-FFFF-FFFF00000000}"/>
  </bookViews>
  <sheets>
    <sheet name="Atalaya Mining" sheetId="40" r:id="rId1"/>
    <sheet name="International Peer Analysis" sheetId="41" r:id="rId2"/>
    <sheet name="Financial Calendar" sheetId="3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4" i="40" l="1"/>
  <c r="P133" i="41" l="1"/>
  <c r="P130" i="41"/>
  <c r="O133" i="41"/>
  <c r="O130" i="41"/>
  <c r="O114" i="41"/>
  <c r="P114" i="41"/>
  <c r="P111" i="41"/>
  <c r="P110" i="41"/>
  <c r="O111" i="41"/>
  <c r="O110" i="41"/>
  <c r="P75" i="41"/>
  <c r="P72" i="41"/>
  <c r="P71" i="41"/>
  <c r="P95" i="41"/>
  <c r="P92" i="41"/>
  <c r="P91" i="41"/>
  <c r="O95" i="41"/>
  <c r="O92" i="41"/>
  <c r="O91" i="41"/>
  <c r="N165" i="41"/>
  <c r="O165" i="41" s="1"/>
  <c r="N126" i="41"/>
  <c r="N127" i="41" s="1"/>
  <c r="F37" i="41"/>
  <c r="E37" i="41"/>
  <c r="N106" i="41"/>
  <c r="N107" i="41" s="1"/>
  <c r="E29" i="41"/>
  <c r="P165" i="41"/>
  <c r="P166" i="41"/>
  <c r="P167" i="41"/>
  <c r="P164" i="41"/>
  <c r="O166" i="41"/>
  <c r="O167" i="41"/>
  <c r="O164" i="41"/>
  <c r="P152" i="41"/>
  <c r="P153" i="41"/>
  <c r="P154" i="41"/>
  <c r="P155" i="41"/>
  <c r="P156" i="41"/>
  <c r="P157" i="41"/>
  <c r="P158" i="41"/>
  <c r="P159" i="41"/>
  <c r="P160" i="41"/>
  <c r="P151" i="41"/>
  <c r="O152" i="41"/>
  <c r="O153" i="41"/>
  <c r="O154" i="41"/>
  <c r="O155" i="41"/>
  <c r="O156" i="41"/>
  <c r="O157" i="41"/>
  <c r="O158" i="41"/>
  <c r="O159" i="41"/>
  <c r="O160" i="41"/>
  <c r="O151" i="41"/>
  <c r="P139" i="41"/>
  <c r="P140" i="41"/>
  <c r="P141" i="41"/>
  <c r="P142" i="41"/>
  <c r="P143" i="41"/>
  <c r="P144" i="41"/>
  <c r="P145" i="41"/>
  <c r="P146" i="41"/>
  <c r="P147" i="41"/>
  <c r="P138" i="41"/>
  <c r="O139" i="41"/>
  <c r="O140" i="41"/>
  <c r="O141" i="41"/>
  <c r="O142" i="41"/>
  <c r="O143" i="41"/>
  <c r="O144" i="41"/>
  <c r="O145" i="41"/>
  <c r="O146" i="41"/>
  <c r="O147" i="41"/>
  <c r="O138" i="41"/>
  <c r="F33" i="41"/>
  <c r="D33" i="41"/>
  <c r="D55" i="41" s="1"/>
  <c r="N87" i="41"/>
  <c r="N88" i="41" s="1"/>
  <c r="D37" i="41"/>
  <c r="D44" i="41"/>
  <c r="O71" i="41"/>
  <c r="O75" i="41"/>
  <c r="O72" i="41"/>
  <c r="C28" i="41"/>
  <c r="C33" i="41" s="1"/>
  <c r="C55" i="41" s="1"/>
  <c r="F28" i="41"/>
  <c r="F53" i="41" s="1"/>
  <c r="E28" i="41"/>
  <c r="E33" i="41" s="1"/>
  <c r="D28" i="41"/>
  <c r="D53" i="41" s="1"/>
  <c r="N168" i="41"/>
  <c r="N161" i="41"/>
  <c r="N148" i="41"/>
  <c r="N132" i="41"/>
  <c r="N129" i="41"/>
  <c r="N124" i="41"/>
  <c r="N133" i="41" s="1"/>
  <c r="N113" i="41"/>
  <c r="N109" i="41"/>
  <c r="N104" i="41"/>
  <c r="N114" i="41" s="1"/>
  <c r="N94" i="41"/>
  <c r="N90" i="41"/>
  <c r="N85" i="41"/>
  <c r="N95" i="41" s="1"/>
  <c r="N74" i="41"/>
  <c r="N70" i="41"/>
  <c r="N68" i="41"/>
  <c r="N65" i="41"/>
  <c r="N75" i="41" s="1"/>
  <c r="N219" i="40"/>
  <c r="N224" i="40" s="1"/>
  <c r="N64" i="40"/>
  <c r="N96" i="40"/>
  <c r="N97" i="40"/>
  <c r="N98" i="40"/>
  <c r="N57" i="40"/>
  <c r="N263" i="40"/>
  <c r="N264" i="40"/>
  <c r="N259" i="40"/>
  <c r="N261" i="40" s="1"/>
  <c r="N271" i="40" s="1"/>
  <c r="N196" i="40"/>
  <c r="N217" i="40"/>
  <c r="N233" i="40"/>
  <c r="N240" i="40" s="1"/>
  <c r="N236" i="40"/>
  <c r="N235" i="40" s="1"/>
  <c r="N114" i="40"/>
  <c r="N122" i="40"/>
  <c r="N130" i="40"/>
  <c r="N132" i="40" s="1"/>
  <c r="N243" i="40" s="1"/>
  <c r="N138" i="40"/>
  <c r="N150" i="40"/>
  <c r="I126" i="41"/>
  <c r="J126" i="41"/>
  <c r="D42" i="41"/>
  <c r="E53" i="41" l="1"/>
  <c r="E55" i="41"/>
  <c r="F54" i="41"/>
  <c r="E54" i="41"/>
  <c r="D54" i="41"/>
  <c r="C53" i="41"/>
  <c r="C54" i="41"/>
  <c r="N123" i="40"/>
  <c r="N242" i="40" s="1"/>
  <c r="N246" i="40" s="1"/>
  <c r="N151" i="40"/>
  <c r="N152" i="40" s="1"/>
  <c r="N237" i="40"/>
  <c r="N262" i="40" s="1"/>
  <c r="N265" i="40" s="1"/>
  <c r="N71" i="40"/>
  <c r="N66" i="40" s="1"/>
  <c r="N244" i="40" s="1"/>
  <c r="N249" i="40" s="1"/>
  <c r="N270" i="40"/>
  <c r="N247" i="40"/>
  <c r="N248" i="40"/>
  <c r="M106" i="41"/>
  <c r="M107" i="41" s="1"/>
  <c r="M113" i="41"/>
  <c r="M109" i="41"/>
  <c r="M104" i="41"/>
  <c r="M114" i="41" s="1"/>
  <c r="M144" i="41"/>
  <c r="M165" i="41"/>
  <c r="M168" i="41" s="1"/>
  <c r="M126" i="41"/>
  <c r="M127" i="41" s="1"/>
  <c r="F55" i="41"/>
  <c r="M132" i="41"/>
  <c r="M124" i="41"/>
  <c r="M133" i="41" s="1"/>
  <c r="M129" i="41"/>
  <c r="D168" i="41"/>
  <c r="E168" i="41"/>
  <c r="F168" i="41"/>
  <c r="G168" i="41"/>
  <c r="H168" i="41"/>
  <c r="I168" i="41"/>
  <c r="J168" i="41"/>
  <c r="K168" i="41"/>
  <c r="L168" i="41"/>
  <c r="C168" i="41"/>
  <c r="M161" i="41"/>
  <c r="M94" i="41"/>
  <c r="M90" i="41"/>
  <c r="M88" i="41"/>
  <c r="M85" i="41"/>
  <c r="M95" i="41" s="1"/>
  <c r="M74" i="41"/>
  <c r="M70" i="41"/>
  <c r="M68" i="41"/>
  <c r="M65" i="41"/>
  <c r="M75" i="41" s="1"/>
  <c r="C234" i="40"/>
  <c r="D234" i="40"/>
  <c r="E234" i="40"/>
  <c r="F234" i="40"/>
  <c r="G234" i="40"/>
  <c r="H234" i="40"/>
  <c r="I234" i="40"/>
  <c r="J234" i="40"/>
  <c r="K234" i="40"/>
  <c r="L234" i="40"/>
  <c r="M234" i="40"/>
  <c r="M233" i="40" s="1"/>
  <c r="M263" i="40"/>
  <c r="M264" i="40"/>
  <c r="M259" i="40"/>
  <c r="M261" i="40" s="1"/>
  <c r="M219" i="40"/>
  <c r="M224" i="40" s="1"/>
  <c r="M64" i="40"/>
  <c r="M236" i="40"/>
  <c r="M235" i="40" s="1"/>
  <c r="M217" i="40"/>
  <c r="M196" i="40"/>
  <c r="M150" i="40"/>
  <c r="M138" i="40"/>
  <c r="M130" i="40"/>
  <c r="M132" i="40" s="1"/>
  <c r="M243" i="40" s="1"/>
  <c r="M122" i="40"/>
  <c r="M114" i="40"/>
  <c r="M96" i="40"/>
  <c r="M97" i="40"/>
  <c r="M98" i="40"/>
  <c r="M81" i="40"/>
  <c r="M57" i="40"/>
  <c r="K145" i="41"/>
  <c r="L145" i="41"/>
  <c r="K158" i="41"/>
  <c r="L158" i="41"/>
  <c r="J143" i="41"/>
  <c r="D141" i="41"/>
  <c r="E141" i="41"/>
  <c r="F141" i="41"/>
  <c r="G141" i="41"/>
  <c r="H141" i="41"/>
  <c r="I141" i="41"/>
  <c r="K141" i="41"/>
  <c r="L141" i="41"/>
  <c r="C141" i="41"/>
  <c r="D153" i="41"/>
  <c r="E153" i="41"/>
  <c r="F153" i="41"/>
  <c r="G153" i="41"/>
  <c r="H153" i="41"/>
  <c r="I153" i="41"/>
  <c r="J153" i="41"/>
  <c r="K153" i="41"/>
  <c r="L153" i="41"/>
  <c r="D140" i="41"/>
  <c r="E140" i="41"/>
  <c r="F140" i="41"/>
  <c r="G140" i="41"/>
  <c r="H140" i="41"/>
  <c r="I140" i="41"/>
  <c r="J140" i="41"/>
  <c r="K140" i="41"/>
  <c r="L140" i="41"/>
  <c r="C153" i="41"/>
  <c r="C140" i="41"/>
  <c r="C152" i="41"/>
  <c r="C139" i="41"/>
  <c r="D138" i="41"/>
  <c r="E138" i="41"/>
  <c r="F138" i="41"/>
  <c r="G138" i="41"/>
  <c r="H138" i="41"/>
  <c r="I138" i="41"/>
  <c r="J138" i="41"/>
  <c r="K138" i="41"/>
  <c r="L138" i="41"/>
  <c r="D151" i="41"/>
  <c r="E151" i="41"/>
  <c r="F151" i="41"/>
  <c r="G151" i="41"/>
  <c r="H151" i="41"/>
  <c r="I151" i="41"/>
  <c r="J151" i="41"/>
  <c r="K151" i="41"/>
  <c r="L151" i="41"/>
  <c r="C151" i="41"/>
  <c r="C138" i="41"/>
  <c r="F27" i="41"/>
  <c r="F32" i="41" s="1"/>
  <c r="L124" i="41"/>
  <c r="L133" i="41" s="1"/>
  <c r="C85" i="41"/>
  <c r="C95" i="41" s="1"/>
  <c r="D85" i="41"/>
  <c r="D95" i="41" s="1"/>
  <c r="E85" i="41"/>
  <c r="E95" i="41" s="1"/>
  <c r="F85" i="41"/>
  <c r="F95" i="41" s="1"/>
  <c r="G85" i="41"/>
  <c r="G95" i="41" s="1"/>
  <c r="H85" i="41"/>
  <c r="H95" i="41" s="1"/>
  <c r="I85" i="41"/>
  <c r="I95" i="41" s="1"/>
  <c r="J85" i="41"/>
  <c r="J95" i="41" s="1"/>
  <c r="K85" i="41"/>
  <c r="K95" i="41" s="1"/>
  <c r="L85" i="41"/>
  <c r="L95" i="41" s="1"/>
  <c r="G87" i="41"/>
  <c r="G88" i="41" s="1"/>
  <c r="G90" i="41"/>
  <c r="G94" i="41"/>
  <c r="H87" i="41"/>
  <c r="H88" i="41" s="1"/>
  <c r="I87" i="41"/>
  <c r="I88" i="41" s="1"/>
  <c r="J87" i="41"/>
  <c r="J88" i="41" s="1"/>
  <c r="J90" i="41"/>
  <c r="J94" i="41"/>
  <c r="K92" i="41"/>
  <c r="K152" i="41" s="1"/>
  <c r="K91" i="41"/>
  <c r="K139" i="41" s="1"/>
  <c r="H92" i="41"/>
  <c r="H152" i="41" s="1"/>
  <c r="H91" i="41"/>
  <c r="H139" i="41" s="1"/>
  <c r="G92" i="41"/>
  <c r="G152" i="41" s="1"/>
  <c r="G91" i="41"/>
  <c r="G139" i="41" s="1"/>
  <c r="D74" i="41"/>
  <c r="D70" i="41"/>
  <c r="D68" i="41"/>
  <c r="D65" i="41"/>
  <c r="D75" i="41" s="1"/>
  <c r="G70" i="41"/>
  <c r="G68" i="41"/>
  <c r="G74" i="41"/>
  <c r="G65" i="41"/>
  <c r="G75" i="41" s="1"/>
  <c r="H65" i="41"/>
  <c r="H75" i="41" s="1"/>
  <c r="H74" i="41"/>
  <c r="H70" i="41"/>
  <c r="H68" i="41"/>
  <c r="H106" i="41"/>
  <c r="H107" i="41" s="1"/>
  <c r="G106" i="41"/>
  <c r="G107" i="41" s="1"/>
  <c r="G109" i="41"/>
  <c r="H109" i="41"/>
  <c r="I109" i="41"/>
  <c r="G113" i="41"/>
  <c r="H113" i="41"/>
  <c r="G104" i="41"/>
  <c r="G114" i="41" s="1"/>
  <c r="H104" i="41"/>
  <c r="H114" i="41" s="1"/>
  <c r="C124" i="41"/>
  <c r="C133" i="41" s="1"/>
  <c r="D124" i="41"/>
  <c r="D133" i="41" s="1"/>
  <c r="C127" i="41"/>
  <c r="D127" i="41"/>
  <c r="C129" i="41"/>
  <c r="D129" i="41"/>
  <c r="C132" i="41"/>
  <c r="D132" i="41"/>
  <c r="E124" i="41"/>
  <c r="E133" i="41" s="1"/>
  <c r="F124" i="41"/>
  <c r="F133" i="41" s="1"/>
  <c r="G124" i="41"/>
  <c r="G133" i="41" s="1"/>
  <c r="H124" i="41"/>
  <c r="H133" i="41" s="1"/>
  <c r="I124" i="41"/>
  <c r="I133" i="41" s="1"/>
  <c r="J124" i="41"/>
  <c r="J133" i="41" s="1"/>
  <c r="K124" i="41"/>
  <c r="K133" i="41" s="1"/>
  <c r="K126" i="41"/>
  <c r="K127" i="41" s="1"/>
  <c r="L126" i="41"/>
  <c r="L127" i="41" s="1"/>
  <c r="L132" i="41"/>
  <c r="K132" i="41"/>
  <c r="C106" i="41"/>
  <c r="C107" i="41" s="1"/>
  <c r="J132" i="41"/>
  <c r="I132" i="41"/>
  <c r="H132" i="41"/>
  <c r="G132" i="41"/>
  <c r="F132" i="41"/>
  <c r="E132" i="41"/>
  <c r="L129" i="41"/>
  <c r="K129" i="41"/>
  <c r="J129" i="41"/>
  <c r="I129" i="41"/>
  <c r="H129" i="41"/>
  <c r="G129" i="41"/>
  <c r="F129" i="41"/>
  <c r="E129" i="41"/>
  <c r="J127" i="41"/>
  <c r="I127" i="41"/>
  <c r="H127" i="41"/>
  <c r="G127" i="41"/>
  <c r="F127" i="41"/>
  <c r="E127" i="41"/>
  <c r="D106" i="41"/>
  <c r="D107" i="41" s="1"/>
  <c r="E106" i="41"/>
  <c r="E107" i="41" s="1"/>
  <c r="F106" i="41"/>
  <c r="F107" i="41" s="1"/>
  <c r="K106" i="41"/>
  <c r="K107" i="41" s="1"/>
  <c r="L106" i="41"/>
  <c r="L107" i="41" s="1"/>
  <c r="I106" i="41"/>
  <c r="I107" i="41" s="1"/>
  <c r="J106" i="41"/>
  <c r="J107" i="41" s="1"/>
  <c r="E27" i="41"/>
  <c r="E32" i="41" s="1"/>
  <c r="C113" i="41"/>
  <c r="D113" i="41"/>
  <c r="E113" i="41"/>
  <c r="F113" i="41"/>
  <c r="I113" i="41"/>
  <c r="J113" i="41"/>
  <c r="K113" i="41"/>
  <c r="L113" i="41"/>
  <c r="L109" i="41"/>
  <c r="K109" i="41"/>
  <c r="J109" i="41"/>
  <c r="F109" i="41"/>
  <c r="E109" i="41"/>
  <c r="D109" i="41"/>
  <c r="C109" i="41"/>
  <c r="L104" i="41"/>
  <c r="L114" i="41" s="1"/>
  <c r="K104" i="41"/>
  <c r="K114" i="41" s="1"/>
  <c r="J104" i="41"/>
  <c r="J114" i="41" s="1"/>
  <c r="I104" i="41"/>
  <c r="I114" i="41" s="1"/>
  <c r="F104" i="41"/>
  <c r="F114" i="41" s="1"/>
  <c r="E104" i="41"/>
  <c r="E114" i="41" s="1"/>
  <c r="D104" i="41"/>
  <c r="D114" i="41" s="1"/>
  <c r="C104" i="41"/>
  <c r="C114" i="41" s="1"/>
  <c r="E87" i="41"/>
  <c r="E88" i="41" s="1"/>
  <c r="D87" i="41"/>
  <c r="D88" i="41" s="1"/>
  <c r="C87" i="41"/>
  <c r="C88" i="41" s="1"/>
  <c r="F87" i="41"/>
  <c r="F88" i="41" s="1"/>
  <c r="G40" i="41"/>
  <c r="G39" i="41"/>
  <c r="D92" i="41"/>
  <c r="D152" i="41" s="1"/>
  <c r="D91" i="41"/>
  <c r="D139" i="41" s="1"/>
  <c r="E92" i="41"/>
  <c r="E152" i="41" s="1"/>
  <c r="E91" i="41"/>
  <c r="E139" i="41" s="1"/>
  <c r="F91" i="41"/>
  <c r="F139" i="41" s="1"/>
  <c r="F92" i="41"/>
  <c r="F152" i="41" s="1"/>
  <c r="I92" i="41"/>
  <c r="I152" i="41" s="1"/>
  <c r="I91" i="41"/>
  <c r="I139" i="41" s="1"/>
  <c r="J92" i="41"/>
  <c r="J152" i="41" s="1"/>
  <c r="J91" i="41"/>
  <c r="J139" i="41" s="1"/>
  <c r="L91" i="41"/>
  <c r="L139" i="41" s="1"/>
  <c r="L92" i="41"/>
  <c r="L152" i="41" s="1"/>
  <c r="K87" i="41"/>
  <c r="K88" i="41" s="1"/>
  <c r="L87" i="41"/>
  <c r="L88" i="41" s="1"/>
  <c r="D27" i="41"/>
  <c r="D32" i="41" s="1"/>
  <c r="D94" i="41"/>
  <c r="E94" i="41"/>
  <c r="F94" i="41"/>
  <c r="H94" i="41"/>
  <c r="I94" i="41"/>
  <c r="K94" i="41"/>
  <c r="L94" i="41"/>
  <c r="C94" i="41"/>
  <c r="L90" i="41"/>
  <c r="K90" i="41"/>
  <c r="I90" i="41"/>
  <c r="H90" i="41"/>
  <c r="F90" i="41"/>
  <c r="E90" i="41"/>
  <c r="D90" i="41"/>
  <c r="C90" i="41"/>
  <c r="M148" i="41" l="1"/>
  <c r="N153" i="40"/>
  <c r="N241" i="40"/>
  <c r="N250" i="40" s="1"/>
  <c r="N269" i="40"/>
  <c r="N79" i="40"/>
  <c r="N268" i="40"/>
  <c r="N67" i="40"/>
  <c r="M271" i="40"/>
  <c r="M270" i="40"/>
  <c r="M71" i="40"/>
  <c r="M79" i="40" s="1"/>
  <c r="M84" i="40" s="1"/>
  <c r="M86" i="40" s="1"/>
  <c r="M123" i="40"/>
  <c r="M242" i="40" s="1"/>
  <c r="M237" i="40"/>
  <c r="N238" i="40" s="1"/>
  <c r="M240" i="40"/>
  <c r="M151" i="40"/>
  <c r="M152" i="40" s="1"/>
  <c r="E161" i="41"/>
  <c r="C161" i="41"/>
  <c r="J161" i="41"/>
  <c r="I161" i="41"/>
  <c r="J148" i="41"/>
  <c r="D148" i="41"/>
  <c r="L161" i="41"/>
  <c r="E148" i="41"/>
  <c r="G161" i="41"/>
  <c r="H148" i="41"/>
  <c r="D161" i="41"/>
  <c r="C148" i="41"/>
  <c r="F161" i="41"/>
  <c r="I148" i="41"/>
  <c r="H161" i="41"/>
  <c r="F148" i="41"/>
  <c r="L148" i="41"/>
  <c r="G148" i="41"/>
  <c r="K161" i="41"/>
  <c r="K148" i="41"/>
  <c r="C27" i="41"/>
  <c r="C32" i="41" s="1"/>
  <c r="D50" i="41"/>
  <c r="E50" i="41"/>
  <c r="F50" i="41"/>
  <c r="C50" i="41"/>
  <c r="D47" i="41"/>
  <c r="E47" i="41"/>
  <c r="F47" i="41"/>
  <c r="C74" i="41"/>
  <c r="E74" i="41"/>
  <c r="F74" i="41"/>
  <c r="I74" i="41"/>
  <c r="J74" i="41"/>
  <c r="K74" i="41"/>
  <c r="L74" i="41"/>
  <c r="C68" i="41"/>
  <c r="E68" i="41"/>
  <c r="F68" i="41"/>
  <c r="I68" i="41"/>
  <c r="J68" i="41"/>
  <c r="K68" i="41"/>
  <c r="L68" i="41"/>
  <c r="C70" i="41"/>
  <c r="E70" i="41"/>
  <c r="F70" i="41"/>
  <c r="I70" i="41"/>
  <c r="J70" i="41"/>
  <c r="K70" i="41"/>
  <c r="L70" i="41"/>
  <c r="C65" i="41"/>
  <c r="C75" i="41" s="1"/>
  <c r="E65" i="41"/>
  <c r="E75" i="41" s="1"/>
  <c r="F65" i="41"/>
  <c r="F75" i="41" s="1"/>
  <c r="I65" i="41"/>
  <c r="I75" i="41" s="1"/>
  <c r="J65" i="41"/>
  <c r="J75" i="41" s="1"/>
  <c r="K65" i="41"/>
  <c r="K75" i="41" s="1"/>
  <c r="L65" i="41"/>
  <c r="L75" i="41" s="1"/>
  <c r="D38" i="41"/>
  <c r="E38" i="41"/>
  <c r="F38" i="41"/>
  <c r="C38" i="41"/>
  <c r="D36" i="41"/>
  <c r="E36" i="41"/>
  <c r="F36" i="41"/>
  <c r="C36" i="41"/>
  <c r="D48" i="41"/>
  <c r="E48" i="41"/>
  <c r="F48" i="41"/>
  <c r="D263" i="40"/>
  <c r="E263" i="40"/>
  <c r="F263" i="40"/>
  <c r="G263" i="40"/>
  <c r="H263" i="40"/>
  <c r="I263" i="40"/>
  <c r="J263" i="40"/>
  <c r="K263" i="40"/>
  <c r="L263" i="40"/>
  <c r="D264" i="40"/>
  <c r="E264" i="40"/>
  <c r="F264" i="40"/>
  <c r="G264" i="40"/>
  <c r="H264" i="40"/>
  <c r="I264" i="40"/>
  <c r="J264" i="40"/>
  <c r="K264" i="40"/>
  <c r="L264" i="40"/>
  <c r="C264" i="40"/>
  <c r="C263" i="40"/>
  <c r="C233" i="40"/>
  <c r="C240" i="40" s="1"/>
  <c r="D233" i="40"/>
  <c r="D240" i="40" s="1"/>
  <c r="E233" i="40"/>
  <c r="E240" i="40" s="1"/>
  <c r="G233" i="40"/>
  <c r="G240" i="40" s="1"/>
  <c r="H233" i="40"/>
  <c r="H240" i="40" s="1"/>
  <c r="I233" i="40"/>
  <c r="I240" i="40" s="1"/>
  <c r="J233" i="40"/>
  <c r="J240" i="40" s="1"/>
  <c r="K233" i="40"/>
  <c r="K240" i="40" s="1"/>
  <c r="L233" i="40"/>
  <c r="D259" i="40"/>
  <c r="D261" i="40" s="1"/>
  <c r="D271" i="40" s="1"/>
  <c r="E259" i="40"/>
  <c r="E261" i="40" s="1"/>
  <c r="E271" i="40" s="1"/>
  <c r="F259" i="40"/>
  <c r="F261" i="40" s="1"/>
  <c r="G259" i="40"/>
  <c r="G261" i="40" s="1"/>
  <c r="H259" i="40"/>
  <c r="H261" i="40" s="1"/>
  <c r="I259" i="40"/>
  <c r="I261" i="40" s="1"/>
  <c r="J259" i="40"/>
  <c r="J261" i="40" s="1"/>
  <c r="K259" i="40"/>
  <c r="K261" i="40" s="1"/>
  <c r="K271" i="40" s="1"/>
  <c r="C259" i="40"/>
  <c r="C261" i="40" s="1"/>
  <c r="C271" i="40" s="1"/>
  <c r="F233" i="40"/>
  <c r="D236" i="40"/>
  <c r="D235" i="40" s="1"/>
  <c r="E236" i="40"/>
  <c r="E235" i="40" s="1"/>
  <c r="F236" i="40"/>
  <c r="F235" i="40" s="1"/>
  <c r="G236" i="40"/>
  <c r="G235" i="40" s="1"/>
  <c r="H236" i="40"/>
  <c r="H235" i="40" s="1"/>
  <c r="I236" i="40"/>
  <c r="I235" i="40" s="1"/>
  <c r="J236" i="40"/>
  <c r="J235" i="40" s="1"/>
  <c r="K236" i="40"/>
  <c r="K235" i="40" s="1"/>
  <c r="L236" i="40"/>
  <c r="L235" i="40" s="1"/>
  <c r="C236" i="40"/>
  <c r="C235" i="40" s="1"/>
  <c r="C74" i="40"/>
  <c r="D74" i="40"/>
  <c r="C54" i="40"/>
  <c r="C57" i="40" s="1"/>
  <c r="D54" i="40"/>
  <c r="D57" i="40" s="1"/>
  <c r="C69" i="40"/>
  <c r="D69" i="40"/>
  <c r="E69" i="40"/>
  <c r="F69" i="40"/>
  <c r="G69" i="40"/>
  <c r="H69" i="40"/>
  <c r="I69" i="40"/>
  <c r="J69" i="40"/>
  <c r="E74" i="40"/>
  <c r="E57" i="40"/>
  <c r="F57" i="40"/>
  <c r="G57" i="40"/>
  <c r="H57" i="40"/>
  <c r="I57" i="40"/>
  <c r="J57" i="40"/>
  <c r="K57" i="40"/>
  <c r="L57" i="40"/>
  <c r="C196" i="40"/>
  <c r="D196" i="40"/>
  <c r="E196" i="40"/>
  <c r="G196" i="40"/>
  <c r="H196" i="40"/>
  <c r="I196" i="40"/>
  <c r="J196" i="40"/>
  <c r="K196" i="40"/>
  <c r="L196" i="40"/>
  <c r="F196" i="40"/>
  <c r="F74" i="40"/>
  <c r="G74" i="40"/>
  <c r="I224" i="40"/>
  <c r="H74" i="40"/>
  <c r="C49" i="41" l="1"/>
  <c r="N160" i="40"/>
  <c r="N195" i="40" s="1"/>
  <c r="N206" i="40" s="1"/>
  <c r="N227" i="40" s="1"/>
  <c r="N81" i="40"/>
  <c r="N84" i="40"/>
  <c r="N86" i="40" s="1"/>
  <c r="N272" i="40" s="1"/>
  <c r="M87" i="40"/>
  <c r="M267" i="40"/>
  <c r="M241" i="40"/>
  <c r="M262" i="40"/>
  <c r="M265" i="40" s="1"/>
  <c r="M269" i="40" s="1"/>
  <c r="M66" i="40"/>
  <c r="M153" i="40"/>
  <c r="M160" i="40"/>
  <c r="M195" i="40" s="1"/>
  <c r="M206" i="40" s="1"/>
  <c r="M231" i="40" s="1"/>
  <c r="M246" i="40"/>
  <c r="M247" i="40"/>
  <c r="M248" i="40"/>
  <c r="M89" i="40"/>
  <c r="L237" i="40"/>
  <c r="F49" i="41"/>
  <c r="C47" i="41"/>
  <c r="E49" i="41"/>
  <c r="D49" i="41"/>
  <c r="G237" i="40"/>
  <c r="G241" i="40" s="1"/>
  <c r="C237" i="40"/>
  <c r="C241" i="40" s="1"/>
  <c r="I237" i="40"/>
  <c r="I262" i="40" s="1"/>
  <c r="I265" i="40" s="1"/>
  <c r="J237" i="40"/>
  <c r="J262" i="40" s="1"/>
  <c r="J265" i="40" s="1"/>
  <c r="H237" i="40"/>
  <c r="H262" i="40" s="1"/>
  <c r="H265" i="40" s="1"/>
  <c r="L240" i="40"/>
  <c r="F237" i="40"/>
  <c r="F262" i="40" s="1"/>
  <c r="F265" i="40" s="1"/>
  <c r="F271" i="40"/>
  <c r="J271" i="40"/>
  <c r="I271" i="40"/>
  <c r="G271" i="40"/>
  <c r="H271" i="40"/>
  <c r="E237" i="40"/>
  <c r="E241" i="40" s="1"/>
  <c r="D237" i="40"/>
  <c r="K237" i="40"/>
  <c r="F240" i="40"/>
  <c r="C122" i="40"/>
  <c r="D122" i="40"/>
  <c r="E122" i="40"/>
  <c r="F122" i="40"/>
  <c r="G122" i="40"/>
  <c r="H122" i="40"/>
  <c r="I122" i="40"/>
  <c r="J122" i="40"/>
  <c r="K122" i="40"/>
  <c r="L122" i="40"/>
  <c r="C114" i="40"/>
  <c r="D114" i="40"/>
  <c r="E114" i="40"/>
  <c r="F114" i="40"/>
  <c r="G114" i="40"/>
  <c r="H114" i="40"/>
  <c r="I114" i="40"/>
  <c r="J114" i="40"/>
  <c r="K114" i="40"/>
  <c r="L114" i="40"/>
  <c r="C138" i="40"/>
  <c r="D138" i="40"/>
  <c r="E138" i="40"/>
  <c r="F138" i="40"/>
  <c r="G138" i="40"/>
  <c r="H138" i="40"/>
  <c r="I138" i="40"/>
  <c r="J138" i="40"/>
  <c r="K138" i="40"/>
  <c r="L138" i="40"/>
  <c r="C130" i="40"/>
  <c r="C132" i="40" s="1"/>
  <c r="C243" i="40" s="1"/>
  <c r="C247" i="40" s="1"/>
  <c r="D130" i="40"/>
  <c r="D132" i="40" s="1"/>
  <c r="D243" i="40" s="1"/>
  <c r="D248" i="40" s="1"/>
  <c r="E130" i="40"/>
  <c r="E132" i="40" s="1"/>
  <c r="E243" i="40" s="1"/>
  <c r="E247" i="40" s="1"/>
  <c r="F130" i="40"/>
  <c r="F132" i="40" s="1"/>
  <c r="F243" i="40" s="1"/>
  <c r="G130" i="40"/>
  <c r="G132" i="40" s="1"/>
  <c r="G243" i="40" s="1"/>
  <c r="G247" i="40" s="1"/>
  <c r="H130" i="40"/>
  <c r="H132" i="40" s="1"/>
  <c r="H243" i="40" s="1"/>
  <c r="H247" i="40" s="1"/>
  <c r="I130" i="40"/>
  <c r="I132" i="40" s="1"/>
  <c r="I243" i="40" s="1"/>
  <c r="I248" i="40" s="1"/>
  <c r="J130" i="40"/>
  <c r="J132" i="40" s="1"/>
  <c r="J243" i="40" s="1"/>
  <c r="J248" i="40" s="1"/>
  <c r="K130" i="40"/>
  <c r="K132" i="40" s="1"/>
  <c r="K243" i="40" s="1"/>
  <c r="K247" i="40" s="1"/>
  <c r="L130" i="40"/>
  <c r="L132" i="40" s="1"/>
  <c r="L243" i="40" s="1"/>
  <c r="C150" i="40"/>
  <c r="D150" i="40"/>
  <c r="E150" i="40"/>
  <c r="F150" i="40"/>
  <c r="G150" i="40"/>
  <c r="H150" i="40"/>
  <c r="I150" i="40"/>
  <c r="J150" i="40"/>
  <c r="K150" i="40"/>
  <c r="L150" i="40"/>
  <c r="D71" i="40"/>
  <c r="E81" i="40"/>
  <c r="C96" i="40"/>
  <c r="D96" i="40"/>
  <c r="E96" i="40"/>
  <c r="C97" i="40"/>
  <c r="D97" i="40"/>
  <c r="E97" i="40"/>
  <c r="C98" i="40"/>
  <c r="D98" i="40"/>
  <c r="E98" i="40"/>
  <c r="C217" i="40"/>
  <c r="D217" i="40"/>
  <c r="E217" i="40"/>
  <c r="C224" i="40"/>
  <c r="D224" i="40"/>
  <c r="E224" i="40"/>
  <c r="F224" i="40"/>
  <c r="G224" i="40"/>
  <c r="H224" i="40"/>
  <c r="J224" i="40"/>
  <c r="F217" i="40"/>
  <c r="G217" i="40"/>
  <c r="H217" i="40"/>
  <c r="I217" i="40"/>
  <c r="J217" i="40"/>
  <c r="F96" i="40"/>
  <c r="G96" i="40"/>
  <c r="H96" i="40"/>
  <c r="I96" i="40"/>
  <c r="J96" i="40"/>
  <c r="K96" i="40"/>
  <c r="F97" i="40"/>
  <c r="G97" i="40"/>
  <c r="H97" i="40"/>
  <c r="I97" i="40"/>
  <c r="J97" i="40"/>
  <c r="K97" i="40"/>
  <c r="F98" i="40"/>
  <c r="G98" i="40"/>
  <c r="H98" i="40"/>
  <c r="I98" i="40"/>
  <c r="J98" i="40"/>
  <c r="K98" i="40"/>
  <c r="L98" i="40"/>
  <c r="L97" i="40"/>
  <c r="L96" i="40"/>
  <c r="L81" i="40"/>
  <c r="F71" i="40"/>
  <c r="G71" i="40"/>
  <c r="I71" i="40"/>
  <c r="J71" i="40"/>
  <c r="L259" i="40"/>
  <c r="L261" i="40" s="1"/>
  <c r="L271" i="40" s="1"/>
  <c r="C48" i="41" l="1"/>
  <c r="N231" i="40"/>
  <c r="N87" i="40"/>
  <c r="N267" i="40"/>
  <c r="N89" i="40"/>
  <c r="N90" i="40" s="1"/>
  <c r="M272" i="40"/>
  <c r="M67" i="40"/>
  <c r="M268" i="40"/>
  <c r="M244" i="40"/>
  <c r="M250" i="40" s="1"/>
  <c r="L241" i="40"/>
  <c r="M238" i="40"/>
  <c r="M227" i="40"/>
  <c r="C262" i="40"/>
  <c r="C265" i="40" s="1"/>
  <c r="L262" i="40"/>
  <c r="L265" i="40" s="1"/>
  <c r="L247" i="40"/>
  <c r="J241" i="40"/>
  <c r="I241" i="40"/>
  <c r="G262" i="40"/>
  <c r="G265" i="40" s="1"/>
  <c r="G269" i="40" s="1"/>
  <c r="I247" i="40"/>
  <c r="L248" i="40"/>
  <c r="C248" i="40"/>
  <c r="H241" i="40"/>
  <c r="I238" i="40"/>
  <c r="H238" i="40"/>
  <c r="J238" i="40"/>
  <c r="F241" i="40"/>
  <c r="G238" i="40"/>
  <c r="F270" i="40"/>
  <c r="K248" i="40"/>
  <c r="G248" i="40"/>
  <c r="C270" i="40"/>
  <c r="D241" i="40"/>
  <c r="D262" i="40"/>
  <c r="D265" i="40" s="1"/>
  <c r="D269" i="40" s="1"/>
  <c r="H248" i="40"/>
  <c r="E238" i="40"/>
  <c r="E262" i="40"/>
  <c r="E265" i="40" s="1"/>
  <c r="I270" i="40"/>
  <c r="K241" i="40"/>
  <c r="K262" i="40"/>
  <c r="K265" i="40" s="1"/>
  <c r="E248" i="40"/>
  <c r="J79" i="40"/>
  <c r="J269" i="40"/>
  <c r="D238" i="40"/>
  <c r="K238" i="40"/>
  <c r="J247" i="40"/>
  <c r="H270" i="40"/>
  <c r="F238" i="40"/>
  <c r="G79" i="40"/>
  <c r="G81" i="40" s="1"/>
  <c r="D270" i="40"/>
  <c r="J270" i="40"/>
  <c r="D247" i="40"/>
  <c r="I79" i="40"/>
  <c r="I81" i="40" s="1"/>
  <c r="I269" i="40"/>
  <c r="F79" i="40"/>
  <c r="F269" i="40"/>
  <c r="D79" i="40"/>
  <c r="D81" i="40" s="1"/>
  <c r="L238" i="40"/>
  <c r="E270" i="40"/>
  <c r="K270" i="40"/>
  <c r="F248" i="40"/>
  <c r="F247" i="40"/>
  <c r="G270" i="40"/>
  <c r="H71" i="40"/>
  <c r="E71" i="40"/>
  <c r="C71" i="40"/>
  <c r="K151" i="40"/>
  <c r="K152" i="40" s="1"/>
  <c r="J151" i="40"/>
  <c r="J152" i="40" s="1"/>
  <c r="J123" i="40"/>
  <c r="J242" i="40" s="1"/>
  <c r="J246" i="40" s="1"/>
  <c r="C151" i="40"/>
  <c r="C152" i="40" s="1"/>
  <c r="I123" i="40"/>
  <c r="I242" i="40" s="1"/>
  <c r="I246" i="40" s="1"/>
  <c r="F123" i="40"/>
  <c r="F242" i="40" s="1"/>
  <c r="F246" i="40" s="1"/>
  <c r="H123" i="40"/>
  <c r="H242" i="40" s="1"/>
  <c r="H246" i="40" s="1"/>
  <c r="E123" i="40"/>
  <c r="E242" i="40" s="1"/>
  <c r="E246" i="40" s="1"/>
  <c r="I151" i="40"/>
  <c r="I152" i="40" s="1"/>
  <c r="H151" i="40"/>
  <c r="H152" i="40" s="1"/>
  <c r="G123" i="40"/>
  <c r="G242" i="40" s="1"/>
  <c r="G246" i="40" s="1"/>
  <c r="E151" i="40"/>
  <c r="E152" i="40" s="1"/>
  <c r="L123" i="40"/>
  <c r="L242" i="40" s="1"/>
  <c r="L246" i="40" s="1"/>
  <c r="D123" i="40"/>
  <c r="D242" i="40" s="1"/>
  <c r="D246" i="40" s="1"/>
  <c r="K123" i="40"/>
  <c r="K242" i="40" s="1"/>
  <c r="K246" i="40" s="1"/>
  <c r="C123" i="40"/>
  <c r="C242" i="40" s="1"/>
  <c r="C246" i="40" s="1"/>
  <c r="G151" i="40"/>
  <c r="G152" i="40" s="1"/>
  <c r="F151" i="40"/>
  <c r="F152" i="40" s="1"/>
  <c r="L151" i="40"/>
  <c r="L152" i="40" s="1"/>
  <c r="D151" i="40"/>
  <c r="D152" i="40" s="1"/>
  <c r="D66" i="40"/>
  <c r="F66" i="40"/>
  <c r="J66" i="40"/>
  <c r="J81" i="40"/>
  <c r="I66" i="40"/>
  <c r="G66" i="40"/>
  <c r="K224" i="40"/>
  <c r="L224" i="40"/>
  <c r="K217" i="40"/>
  <c r="L217" i="40"/>
  <c r="L270" i="40"/>
  <c r="M249" i="40" l="1"/>
  <c r="D84" i="40"/>
  <c r="D86" i="40" s="1"/>
  <c r="D89" i="40" s="1"/>
  <c r="I67" i="40"/>
  <c r="I268" i="40"/>
  <c r="I244" i="40"/>
  <c r="J67" i="40"/>
  <c r="J268" i="40"/>
  <c r="J244" i="40"/>
  <c r="G67" i="40"/>
  <c r="G268" i="40"/>
  <c r="G244" i="40"/>
  <c r="D67" i="40"/>
  <c r="D268" i="40"/>
  <c r="D244" i="40"/>
  <c r="D249" i="40" s="1"/>
  <c r="F67" i="40"/>
  <c r="F268" i="40"/>
  <c r="F244" i="40"/>
  <c r="C79" i="40"/>
  <c r="C81" i="40" s="1"/>
  <c r="C269" i="40"/>
  <c r="E79" i="40"/>
  <c r="E160" i="40" s="1"/>
  <c r="E195" i="40" s="1"/>
  <c r="E269" i="40"/>
  <c r="D160" i="40"/>
  <c r="D195" i="40" s="1"/>
  <c r="D206" i="40" s="1"/>
  <c r="H79" i="40"/>
  <c r="H81" i="40" s="1"/>
  <c r="H269" i="40"/>
  <c r="H66" i="40"/>
  <c r="L71" i="40"/>
  <c r="L79" i="40" s="1"/>
  <c r="C66" i="40"/>
  <c r="K71" i="40"/>
  <c r="E66" i="40"/>
  <c r="F84" i="40"/>
  <c r="F86" i="40" s="1"/>
  <c r="F89" i="40" s="1"/>
  <c r="F81" i="40"/>
  <c r="I153" i="40"/>
  <c r="J153" i="40"/>
  <c r="E153" i="40"/>
  <c r="L153" i="40"/>
  <c r="F153" i="40"/>
  <c r="H153" i="40"/>
  <c r="G153" i="40"/>
  <c r="C153" i="40"/>
  <c r="D153" i="40"/>
  <c r="K153" i="40"/>
  <c r="C84" i="40"/>
  <c r="C86" i="40" s="1"/>
  <c r="C89" i="40" s="1"/>
  <c r="I160" i="40"/>
  <c r="I195" i="40" s="1"/>
  <c r="I84" i="40"/>
  <c r="I86" i="40" s="1"/>
  <c r="I89" i="40" s="1"/>
  <c r="J84" i="40"/>
  <c r="J86" i="40" s="1"/>
  <c r="J89" i="40" s="1"/>
  <c r="J160" i="40"/>
  <c r="J195" i="40" s="1"/>
  <c r="G84" i="40"/>
  <c r="G86" i="40" s="1"/>
  <c r="G89" i="40" s="1"/>
  <c r="G160" i="40"/>
  <c r="G195" i="40" s="1"/>
  <c r="F160" i="40"/>
  <c r="F195" i="40" s="1"/>
  <c r="F206" i="40" s="1"/>
  <c r="F231" i="40" s="1"/>
  <c r="D267" i="40" l="1"/>
  <c r="D87" i="40"/>
  <c r="D272" i="40"/>
  <c r="C160" i="40"/>
  <c r="C195" i="40" s="1"/>
  <c r="C206" i="40" s="1"/>
  <c r="K79" i="40"/>
  <c r="K81" i="40" s="1"/>
  <c r="K269" i="40"/>
  <c r="J249" i="40"/>
  <c r="J250" i="40"/>
  <c r="J272" i="40"/>
  <c r="J267" i="40"/>
  <c r="C272" i="40"/>
  <c r="C267" i="40"/>
  <c r="H67" i="40"/>
  <c r="H244" i="40"/>
  <c r="H268" i="40"/>
  <c r="G249" i="40"/>
  <c r="G250" i="40"/>
  <c r="G272" i="40"/>
  <c r="G267" i="40"/>
  <c r="E84" i="40"/>
  <c r="E86" i="40" s="1"/>
  <c r="E89" i="40" s="1"/>
  <c r="H160" i="40"/>
  <c r="H195" i="40" s="1"/>
  <c r="H206" i="40" s="1"/>
  <c r="I249" i="40"/>
  <c r="I250" i="40"/>
  <c r="E67" i="40"/>
  <c r="E268" i="40"/>
  <c r="E244" i="40"/>
  <c r="I272" i="40"/>
  <c r="I267" i="40"/>
  <c r="H84" i="40"/>
  <c r="H86" i="40" s="1"/>
  <c r="H89" i="40" s="1"/>
  <c r="F250" i="40"/>
  <c r="F249" i="40"/>
  <c r="D227" i="40"/>
  <c r="D231" i="40"/>
  <c r="F272" i="40"/>
  <c r="F267" i="40"/>
  <c r="D250" i="40"/>
  <c r="C67" i="40"/>
  <c r="C244" i="40"/>
  <c r="C268" i="40"/>
  <c r="L269" i="40"/>
  <c r="L66" i="40"/>
  <c r="K66" i="40"/>
  <c r="J206" i="40"/>
  <c r="F227" i="40"/>
  <c r="E206" i="40"/>
  <c r="G206" i="40"/>
  <c r="I206" i="40"/>
  <c r="I231" i="40" s="1"/>
  <c r="F87" i="40"/>
  <c r="J87" i="40"/>
  <c r="I87" i="40"/>
  <c r="G87" i="40"/>
  <c r="D90" i="40"/>
  <c r="C87" i="40"/>
  <c r="L84" i="40"/>
  <c r="L86" i="40" s="1"/>
  <c r="L89" i="40" s="1"/>
  <c r="M90" i="40" s="1"/>
  <c r="L160" i="40"/>
  <c r="L195" i="40" s="1"/>
  <c r="L206" i="40" s="1"/>
  <c r="L231" i="40" s="1"/>
  <c r="K84" i="40" l="1"/>
  <c r="K86" i="40" s="1"/>
  <c r="K89" i="40" s="1"/>
  <c r="K90" i="40" s="1"/>
  <c r="K160" i="40"/>
  <c r="K195" i="40" s="1"/>
  <c r="K206" i="40" s="1"/>
  <c r="K231" i="40" s="1"/>
  <c r="E87" i="40"/>
  <c r="H87" i="40"/>
  <c r="L67" i="40"/>
  <c r="L244" i="40"/>
  <c r="E272" i="40"/>
  <c r="E267" i="40"/>
  <c r="E227" i="40"/>
  <c r="E231" i="40"/>
  <c r="G227" i="40"/>
  <c r="G231" i="40"/>
  <c r="E249" i="40"/>
  <c r="E250" i="40"/>
  <c r="E90" i="40"/>
  <c r="J227" i="40"/>
  <c r="J231" i="40"/>
  <c r="H249" i="40"/>
  <c r="H250" i="40"/>
  <c r="K67" i="40"/>
  <c r="K268" i="40"/>
  <c r="K244" i="40"/>
  <c r="I90" i="40"/>
  <c r="H272" i="40"/>
  <c r="H267" i="40"/>
  <c r="H227" i="40"/>
  <c r="H231" i="40"/>
  <c r="C227" i="40"/>
  <c r="C231" i="40"/>
  <c r="C250" i="40"/>
  <c r="C249" i="40"/>
  <c r="L268" i="40"/>
  <c r="I227" i="40"/>
  <c r="J90" i="40"/>
  <c r="L87" i="40"/>
  <c r="G90" i="40"/>
  <c r="L272" i="40"/>
  <c r="L267" i="40"/>
  <c r="L227" i="40"/>
  <c r="K272" i="40" l="1"/>
  <c r="K87" i="40"/>
  <c r="K267" i="40"/>
  <c r="C229" i="40"/>
  <c r="D228" i="40" s="1"/>
  <c r="D229" i="40" s="1"/>
  <c r="H90" i="40"/>
  <c r="K249" i="40"/>
  <c r="K250" i="40"/>
  <c r="L250" i="40"/>
  <c r="L249" i="40"/>
  <c r="F90" i="40"/>
  <c r="L90" i="40"/>
  <c r="K227" i="40"/>
  <c r="E228" i="40" l="1"/>
  <c r="E229" i="40" s="1"/>
  <c r="D230" i="40"/>
  <c r="C230" i="40"/>
  <c r="F228" i="40" l="1"/>
  <c r="F229" i="40" s="1"/>
  <c r="E230" i="40"/>
  <c r="G228" i="40" l="1"/>
  <c r="G229" i="40" s="1"/>
  <c r="F230" i="40"/>
  <c r="H228" i="40" l="1"/>
  <c r="H229" i="40" s="1"/>
  <c r="G230" i="40"/>
  <c r="H230" i="40" l="1"/>
  <c r="I228" i="40"/>
  <c r="I229" i="40" s="1"/>
  <c r="J228" i="40" l="1"/>
  <c r="J229" i="40" s="1"/>
  <c r="I230" i="40"/>
  <c r="K228" i="40" l="1"/>
  <c r="K229" i="40" s="1"/>
  <c r="J230" i="40"/>
  <c r="L228" i="40" l="1"/>
  <c r="L229" i="40" s="1"/>
  <c r="K230" i="40"/>
  <c r="L230" i="40" l="1"/>
  <c r="M228" i="40"/>
  <c r="M229" i="40" s="1"/>
  <c r="M230" i="40" l="1"/>
  <c r="N228" i="40"/>
  <c r="N229" i="40" s="1"/>
  <c r="N230"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26" authorId="0" shapeId="0" xr:uid="{4FF48D18-B7B0-4249-835D-2BD64D9D8DEF}">
      <text>
        <r>
          <rPr>
            <b/>
            <sz val="10"/>
            <color rgb="FFAD9750"/>
            <rFont val="Tahoma"/>
            <family val="2"/>
          </rPr>
          <t>Tenvalue notes &amp; explanations....</t>
        </r>
      </text>
    </comment>
    <comment ref="K43" authorId="0" shapeId="0" xr:uid="{70F7A42A-C59F-4EDB-AA40-DFAAC9FFA446}">
      <text>
        <r>
          <rPr>
            <b/>
            <sz val="9"/>
            <color indexed="81"/>
            <rFont val="Tahoma"/>
            <family val="2"/>
          </rPr>
          <t>Tenvalue:</t>
        </r>
        <r>
          <rPr>
            <sz val="9"/>
            <color indexed="81"/>
            <rFont val="Tahoma"/>
            <family val="2"/>
          </rPr>
          <t xml:space="preserve">
Produced at Cerro Colorado (Proyecto Riotinto)
</t>
        </r>
      </text>
    </comment>
    <comment ref="L43" authorId="0" shapeId="0" xr:uid="{6B69FF7D-0FC5-4283-9D9F-7A913A4388E9}">
      <text>
        <r>
          <rPr>
            <b/>
            <sz val="9"/>
            <color indexed="81"/>
            <rFont val="Tahoma"/>
            <family val="2"/>
          </rPr>
          <t>Tenvalue:</t>
        </r>
        <r>
          <rPr>
            <sz val="9"/>
            <color indexed="81"/>
            <rFont val="Tahoma"/>
            <family val="2"/>
          </rPr>
          <t xml:space="preserve">
Produced at Cerro Colorado (Proyecto Riotinto)</t>
        </r>
      </text>
    </comment>
    <comment ref="K207" authorId="0" shapeId="0" xr:uid="{EDA6B1C3-C67C-4E37-909B-D528261B377E}">
      <text>
        <r>
          <rPr>
            <b/>
            <sz val="9"/>
            <color indexed="81"/>
            <rFont val="Tahoma"/>
            <family val="2"/>
          </rPr>
          <t>Tenvalue:</t>
        </r>
        <r>
          <rPr>
            <sz val="9"/>
            <color indexed="81"/>
            <rFont val="Tahoma"/>
            <family val="2"/>
          </rPr>
          <t xml:space="preserve">
Significant investments in E-LIX (€16.8M) and 50 MW solar plant (€22.7M)</t>
        </r>
      </text>
    </comment>
    <comment ref="L207" authorId="0" shapeId="0" xr:uid="{1B5A88CB-150C-4235-B239-43C6D52BB30B}">
      <text>
        <r>
          <rPr>
            <b/>
            <sz val="9"/>
            <color indexed="81"/>
            <rFont val="Tahoma"/>
            <family val="2"/>
          </rPr>
          <t xml:space="preserve">Tenvalue:
</t>
        </r>
        <r>
          <rPr>
            <sz val="9"/>
            <color indexed="81"/>
            <rFont val="Tahoma"/>
            <family val="2"/>
          </rPr>
          <t xml:space="preserve">
 Key invetsments included E-LIX Phase I plant (€18.1M) and 50 MW solar plant (€12.9M)</t>
        </r>
      </text>
    </comment>
    <comment ref="O207" authorId="0" shapeId="0" xr:uid="{13FA1257-A4EC-45AC-9E55-4DE63F84F054}">
      <text>
        <r>
          <rPr>
            <b/>
            <sz val="9"/>
            <color indexed="81"/>
            <rFont val="Tahoma"/>
            <family val="2"/>
          </rPr>
          <t>Tenvalue:</t>
        </r>
        <r>
          <rPr>
            <sz val="9"/>
            <color indexed="81"/>
            <rFont val="Tahoma"/>
            <family val="2"/>
          </rPr>
          <t xml:space="preserve">
CAPITAL INVESTMENTS
Total: €75 – 102M 
San Dionisio waste stripping and road relocation: €50 – 60M
PMV access ramp: €10 – 18M
Expansion of existing Riotinto tailings facility: €10 – 14
Other investments: €5 – 10M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4" authorId="0" shapeId="0" xr:uid="{1B9A1DF5-F173-4010-94DE-262256090729}">
      <text>
        <r>
          <rPr>
            <b/>
            <sz val="9"/>
            <color indexed="81"/>
            <rFont val="Tahoma"/>
            <family val="2"/>
          </rPr>
          <t>Tenvalue:</t>
        </r>
        <r>
          <rPr>
            <sz val="9"/>
            <color indexed="81"/>
            <rFont val="Tahoma"/>
            <family val="2"/>
          </rPr>
          <t xml:space="preserve">
As of May 12, 2026</t>
        </r>
      </text>
    </comment>
    <comment ref="B25" authorId="0" shapeId="0" xr:uid="{5C8F1F12-29FE-450E-8B93-780E19C42D3A}">
      <text>
        <r>
          <rPr>
            <b/>
            <sz val="9"/>
            <color indexed="81"/>
            <rFont val="Tahoma"/>
            <family val="2"/>
          </rPr>
          <t>Tenvalue:</t>
        </r>
        <r>
          <rPr>
            <sz val="9"/>
            <color indexed="81"/>
            <rFont val="Tahoma"/>
            <family val="2"/>
          </rPr>
          <t xml:space="preserve">
As of May 12, 2026</t>
        </r>
      </text>
    </comment>
    <comment ref="B71" authorId="0" shapeId="0" xr:uid="{7A604CD1-6F1E-4D0C-B656-BA3B0E7D93B5}">
      <text>
        <r>
          <rPr>
            <b/>
            <sz val="9"/>
            <color indexed="81"/>
            <rFont val="Tahoma"/>
            <family val="2"/>
          </rPr>
          <t>Tenvalue: Cash costs before deducting by-product revenue ($/lb)</t>
        </r>
        <r>
          <rPr>
            <sz val="9"/>
            <color indexed="81"/>
            <rFont val="Tahoma"/>
            <family val="2"/>
          </rPr>
          <t xml:space="preserve">
Cash costs are a measure of the cost of operating production expressed in terms of cents per 
pound of payable copper produced. It reflects the direct costs involved in producing each pound of copper. </t>
        </r>
      </text>
    </comment>
    <comment ref="B72" authorId="0" shapeId="0" xr:uid="{384E05F8-8239-42A6-A193-B28F62ACE365}">
      <text>
        <r>
          <rPr>
            <b/>
            <sz val="9"/>
            <color indexed="81"/>
            <rFont val="Tahoma"/>
            <family val="2"/>
          </rPr>
          <t xml:space="preserve">Tenvalue:Cash costs (net of by-product revenue) ($/lb) </t>
        </r>
        <r>
          <rPr>
            <sz val="9"/>
            <color indexed="81"/>
            <rFont val="Tahoma"/>
            <family val="2"/>
          </rPr>
          <t xml:space="preserve">
</t>
        </r>
      </text>
    </comment>
    <comment ref="B91" authorId="0" shapeId="0" xr:uid="{6E041706-4BC6-4A64-91AD-114A260AA209}">
      <text>
        <r>
          <rPr>
            <b/>
            <sz val="9"/>
            <color indexed="81"/>
            <rFont val="Tahoma"/>
            <family val="2"/>
          </rPr>
          <t>Tenvalue:</t>
        </r>
        <r>
          <rPr>
            <sz val="9"/>
            <color indexed="81"/>
            <rFont val="Tahoma"/>
            <family val="2"/>
          </rPr>
          <t xml:space="preserve">
AVG Q1+Q2+Q3+Q4
It does not enclude exploration costs</t>
        </r>
      </text>
    </comment>
    <comment ref="B92" authorId="0" shapeId="0" xr:uid="{FA66F65D-C6C0-4A10-B274-52B5B5A42297}">
      <text>
        <r>
          <rPr>
            <b/>
            <sz val="9"/>
            <color indexed="81"/>
            <rFont val="Tahoma"/>
            <family val="2"/>
          </rPr>
          <t>Tenvalue:</t>
        </r>
        <r>
          <rPr>
            <sz val="9"/>
            <color indexed="81"/>
            <rFont val="Tahoma"/>
            <family val="2"/>
          </rPr>
          <t xml:space="preserve">
AVG Q1+Q2+Q3+Q4
It does not enclude exploration costs</t>
        </r>
      </text>
    </comment>
    <comment ref="B142" authorId="0" shapeId="0" xr:uid="{2F1E8054-0832-408F-BF06-F609AEBFBD61}">
      <text>
        <r>
          <rPr>
            <b/>
            <sz val="9"/>
            <color indexed="81"/>
            <rFont val="Tahoma"/>
            <family val="2"/>
          </rPr>
          <t>Tenvalue:</t>
        </r>
        <r>
          <rPr>
            <sz val="9"/>
            <color indexed="81"/>
            <rFont val="Tahoma"/>
            <family val="2"/>
          </rPr>
          <t xml:space="preserve">
exclusive Copper only</t>
        </r>
      </text>
    </comment>
    <comment ref="B155" authorId="0" shapeId="0" xr:uid="{A25328E4-0BCB-45E9-974B-2582BBDB2CD5}">
      <text>
        <r>
          <rPr>
            <b/>
            <sz val="9"/>
            <color indexed="81"/>
            <rFont val="Tahoma"/>
            <family val="2"/>
          </rPr>
          <t>Tenvalue:</t>
        </r>
        <r>
          <rPr>
            <sz val="9"/>
            <color indexed="81"/>
            <rFont val="Tahoma"/>
            <family val="2"/>
          </rPr>
          <t xml:space="preserve">
exclusive Copper only</t>
        </r>
      </text>
    </comment>
  </commentList>
</comments>
</file>

<file path=xl/sharedStrings.xml><?xml version="1.0" encoding="utf-8"?>
<sst xmlns="http://schemas.openxmlformats.org/spreadsheetml/2006/main" count="466" uniqueCount="270">
  <si>
    <t>EBITDA</t>
  </si>
  <si>
    <t>EBIT</t>
  </si>
  <si>
    <t>EBIT Margin %</t>
  </si>
  <si>
    <t xml:space="preserve">     - Finance costs</t>
  </si>
  <si>
    <t>EBT</t>
  </si>
  <si>
    <t>Income tax for the period</t>
  </si>
  <si>
    <t>Tax rate %</t>
  </si>
  <si>
    <t>Net result for the year attributable to non-controlling interests</t>
  </si>
  <si>
    <t>Profit Margin %</t>
  </si>
  <si>
    <t>Earnings per share</t>
  </si>
  <si>
    <t>EPS growth %</t>
  </si>
  <si>
    <t>Dividend paid per share</t>
  </si>
  <si>
    <t>Dividend payout %</t>
  </si>
  <si>
    <t>Assets</t>
  </si>
  <si>
    <t xml:space="preserve">   Total non-current assets</t>
  </si>
  <si>
    <t xml:space="preserve">      Cash and cash equivalents</t>
  </si>
  <si>
    <t xml:space="preserve">   Total current assets </t>
  </si>
  <si>
    <t xml:space="preserve">Total assets </t>
  </si>
  <si>
    <t>Equity and liabilities</t>
  </si>
  <si>
    <t xml:space="preserve">   Total equity</t>
  </si>
  <si>
    <t xml:space="preserve">   Total non-current liabilities</t>
  </si>
  <si>
    <t xml:space="preserve">   Total current liabilities</t>
  </si>
  <si>
    <t>Total equity and liabilities</t>
  </si>
  <si>
    <t>Cash flow from operating activities before changes in WC</t>
  </si>
  <si>
    <t>Changes in working capital</t>
  </si>
  <si>
    <t>Cash flow from operating activities</t>
  </si>
  <si>
    <t>Cash flows from investing activities</t>
  </si>
  <si>
    <t>Cash flows from financing activities</t>
  </si>
  <si>
    <t>Cash Flow of the year</t>
  </si>
  <si>
    <t>Cash flow from previous years</t>
  </si>
  <si>
    <t>Accumulated cash flow</t>
  </si>
  <si>
    <t>Gross Debt</t>
  </si>
  <si>
    <t>Gross Cash</t>
  </si>
  <si>
    <t xml:space="preserve">Net Debt </t>
  </si>
  <si>
    <t>Price</t>
  </si>
  <si>
    <t>Market Cap</t>
  </si>
  <si>
    <t>Enterprise Value</t>
  </si>
  <si>
    <t>P/E</t>
  </si>
  <si>
    <t>EV/EBITDA</t>
  </si>
  <si>
    <t>P/B</t>
  </si>
  <si>
    <t>Dividend Yield %</t>
  </si>
  <si>
    <t>ROE</t>
  </si>
  <si>
    <t>Date</t>
  </si>
  <si>
    <t>Item</t>
  </si>
  <si>
    <t>Consolidated</t>
  </si>
  <si>
    <t>Associates</t>
  </si>
  <si>
    <t>Total debt</t>
  </si>
  <si>
    <t>Equity</t>
  </si>
  <si>
    <t>TD/Assets</t>
  </si>
  <si>
    <t>TD/Equity</t>
  </si>
  <si>
    <t xml:space="preserve">   Equity</t>
  </si>
  <si>
    <t>Effect of FX rate exchange</t>
  </si>
  <si>
    <t>Net debt (net cash)</t>
  </si>
  <si>
    <t>Free  cash flow</t>
  </si>
  <si>
    <t>Minority interests</t>
  </si>
  <si>
    <t>TD/EBITDA</t>
  </si>
  <si>
    <t>ND/EBITDA</t>
  </si>
  <si>
    <t>EV/EBIT</t>
  </si>
  <si>
    <t>In millions of EUR, except per share data</t>
  </si>
  <si>
    <t>Capitalization ratio</t>
  </si>
  <si>
    <t>Weighted average number of shares</t>
  </si>
  <si>
    <t xml:space="preserve">Historical data </t>
  </si>
  <si>
    <t>Lookout for key notes / explanations</t>
  </si>
  <si>
    <t>Revenue</t>
  </si>
  <si>
    <t>DSO</t>
  </si>
  <si>
    <t>DPO</t>
  </si>
  <si>
    <t>Cash and cash equivalents</t>
  </si>
  <si>
    <t>Share capital</t>
  </si>
  <si>
    <t>Share premium</t>
  </si>
  <si>
    <t>Other reserves</t>
  </si>
  <si>
    <t>Intangible assets</t>
  </si>
  <si>
    <t>EBITDA Margin %</t>
  </si>
  <si>
    <t>In millions, except per share data</t>
  </si>
  <si>
    <t>Price (at end of FY)</t>
  </si>
  <si>
    <t>Current price</t>
  </si>
  <si>
    <t>Market Cap (at end of FY)</t>
  </si>
  <si>
    <t>Enterprise Value (at end of FY)</t>
  </si>
  <si>
    <t>Revenues</t>
  </si>
  <si>
    <t>EBIT (Operating profit/loss)</t>
  </si>
  <si>
    <t xml:space="preserve"> Operating margin</t>
  </si>
  <si>
    <t>EBITDA margin</t>
  </si>
  <si>
    <t>Net earnings (loss) attributable to the Company</t>
  </si>
  <si>
    <t>Operating Cash Flow</t>
  </si>
  <si>
    <t>Capex</t>
  </si>
  <si>
    <t xml:space="preserve">P/E </t>
  </si>
  <si>
    <t xml:space="preserve">EV/ EBIT </t>
  </si>
  <si>
    <t>Price 12/31 of given year</t>
  </si>
  <si>
    <t>EBIT margin</t>
  </si>
  <si>
    <t>NFD/EBITDA</t>
  </si>
  <si>
    <t>Dividends originated from results</t>
  </si>
  <si>
    <t>Net result for the year attributable to shareholders of the parent</t>
  </si>
  <si>
    <t>In millions of EUR, except per share data and average price or items expressed in units</t>
  </si>
  <si>
    <t>DIO</t>
  </si>
  <si>
    <t>EPS</t>
  </si>
  <si>
    <t>P/E ratio</t>
  </si>
  <si>
    <t>Atalaya Mining - Key Financial Data</t>
  </si>
  <si>
    <t>Atalaya Mining - Income Statement</t>
  </si>
  <si>
    <t>Atalaya Mining - Balance Sheet</t>
  </si>
  <si>
    <t>Atalaya Mining - Cashflow Statement</t>
  </si>
  <si>
    <t xml:space="preserve">Atalaya Mining - Valuation </t>
  </si>
  <si>
    <t>Atalaya Mining - Peer Analysis</t>
  </si>
  <si>
    <t>Atalaya Mining - Financial Calendar</t>
  </si>
  <si>
    <t>Key metrics</t>
  </si>
  <si>
    <t>Ore mined (t)</t>
  </si>
  <si>
    <t>Ore processed (t)</t>
  </si>
  <si>
    <t>Cash cost ($/lb)</t>
  </si>
  <si>
    <t>AISC ($/lb)</t>
  </si>
  <si>
    <t>Realised copper price (excl. QPs) ($/lb)</t>
  </si>
  <si>
    <t>Copper concentrate (t)</t>
  </si>
  <si>
    <t>Copper contained in concentrate (t)</t>
  </si>
  <si>
    <t>Payable copper contained in concentrate (t)</t>
  </si>
  <si>
    <t>Operating costs and mine site administrative expenses</t>
  </si>
  <si>
    <t>Mine site depreciation, amortisation and impairment</t>
  </si>
  <si>
    <t>Gross profit</t>
  </si>
  <si>
    <t>Aministration and other expenses</t>
  </si>
  <si>
    <t>Share based benefits</t>
  </si>
  <si>
    <t>Exploration expenses</t>
  </si>
  <si>
    <t>Care and maintenance expenditure</t>
  </si>
  <si>
    <t>Depreciaition/amortisation</t>
  </si>
  <si>
    <t xml:space="preserve">     + Interest income from financial assets at amortised cost</t>
  </si>
  <si>
    <t>Net foreign exchange (loss) / gain</t>
  </si>
  <si>
    <t>Profit for the year</t>
  </si>
  <si>
    <t>Property, plant and equipment</t>
  </si>
  <si>
    <t>Investment in subsidiaries</t>
  </si>
  <si>
    <t>Trade and other receivables</t>
  </si>
  <si>
    <t>Non-current financial asset</t>
  </si>
  <si>
    <t>Deferred tax asset</t>
  </si>
  <si>
    <t>Inventories</t>
  </si>
  <si>
    <t>Tax refundable</t>
  </si>
  <si>
    <t>Other financial assets</t>
  </si>
  <si>
    <t>Accumulated profit</t>
  </si>
  <si>
    <t>Trade and other payables</t>
  </si>
  <si>
    <t>Provisions</t>
  </si>
  <si>
    <t>Lease liability</t>
  </si>
  <si>
    <t>Borrowings</t>
  </si>
  <si>
    <t>Current tax liability</t>
  </si>
  <si>
    <t>Total liabilities</t>
  </si>
  <si>
    <t>Depreciation of property, plant and equipment</t>
  </si>
  <si>
    <t>Amortisation of intangible asets</t>
  </si>
  <si>
    <t>Recognition of share-based payments</t>
  </si>
  <si>
    <t>Interest income</t>
  </si>
  <si>
    <t>Interest expense</t>
  </si>
  <si>
    <t>Unwinding of discounting</t>
  </si>
  <si>
    <t>Legal provisions</t>
  </si>
  <si>
    <t>Net foreign exchange differences</t>
  </si>
  <si>
    <t>Unrealised foreign exchange (loss) / gain on financial activities</t>
  </si>
  <si>
    <t>Interest paid</t>
  </si>
  <si>
    <t>Tax paid</t>
  </si>
  <si>
    <t>Purchases of property, plant and equipment</t>
  </si>
  <si>
    <t>Purchases of intagible assets</t>
  </si>
  <si>
    <t>Interest received</t>
  </si>
  <si>
    <t>Lease payment</t>
  </si>
  <si>
    <t>Net (repayments) / proceeds from borrowings</t>
  </si>
  <si>
    <t>Proceeds from issue of share capital</t>
  </si>
  <si>
    <t>Dividends paid</t>
  </si>
  <si>
    <t>Market Cap (€)</t>
  </si>
  <si>
    <t>Weighted average number of shares, in millions</t>
  </si>
  <si>
    <t>Market Cap, in GBP M</t>
  </si>
  <si>
    <t>Finance provisions</t>
  </si>
  <si>
    <t>Other provisions</t>
  </si>
  <si>
    <t>Payment of deferred consideration</t>
  </si>
  <si>
    <t>Deferred consideration</t>
  </si>
  <si>
    <t>Impairment intangibles</t>
  </si>
  <si>
    <t>Impairment loss on other receivables</t>
  </si>
  <si>
    <t>Other income</t>
  </si>
  <si>
    <t>Rehabilitation provision</t>
  </si>
  <si>
    <t>Acquisition of financial assets</t>
  </si>
  <si>
    <t>Release of prior year provision</t>
  </si>
  <si>
    <t>Loss on disposal of intangibles</t>
  </si>
  <si>
    <t>Disposal of subsidiary</t>
  </si>
  <si>
    <t>Listing and issue costs</t>
  </si>
  <si>
    <t>Corporate depreciation</t>
  </si>
  <si>
    <t>Available-for-sales investments</t>
  </si>
  <si>
    <t>Hedging income</t>
  </si>
  <si>
    <t>Gain on disposal of associates</t>
  </si>
  <si>
    <t>Derivative instruments</t>
  </si>
  <si>
    <t>Proceeds from sale of PP&amp;E</t>
  </si>
  <si>
    <t>Realised gains on derivative financial instruments held for trading</t>
  </si>
  <si>
    <t>Investment in associates</t>
  </si>
  <si>
    <t>Share of result of associate</t>
  </si>
  <si>
    <t>Bonus share issued escrow</t>
  </si>
  <si>
    <t>Interest deferred consideration</t>
  </si>
  <si>
    <t>Loss on fair value on the conversion feature of the convertible note</t>
  </si>
  <si>
    <t>Accretion expense on convertible note</t>
  </si>
  <si>
    <t>Convertible note interest expense</t>
  </si>
  <si>
    <t>Bridge loan interest expense</t>
  </si>
  <si>
    <t>Bridge loan financing expenditure</t>
  </si>
  <si>
    <t>FX loss on repayment of borrowings</t>
  </si>
  <si>
    <t>Gain on disposal of PP&amp;E</t>
  </si>
  <si>
    <t>Gain on disposal of subsidiaries</t>
  </si>
  <si>
    <t>Interest expense on lease/ financing liabilities</t>
  </si>
  <si>
    <t>NA</t>
  </si>
  <si>
    <t>Convertible note - debt component</t>
  </si>
  <si>
    <t>Convertible note - derivative component</t>
  </si>
  <si>
    <t>Bridge loan facility</t>
  </si>
  <si>
    <t>Increase in Net Debt</t>
  </si>
  <si>
    <t>GBPEUR, end of year</t>
  </si>
  <si>
    <t>Proceed from sale of investment</t>
  </si>
  <si>
    <t>Impairment/gain on available-for-sale investment</t>
  </si>
  <si>
    <t>Profit on disposal of investment</t>
  </si>
  <si>
    <t>Antofagasta</t>
  </si>
  <si>
    <t>(+) Net Financial Debt</t>
  </si>
  <si>
    <t>(-) Associates</t>
  </si>
  <si>
    <t>(+) Minorities</t>
  </si>
  <si>
    <t>(-) Investments in associates</t>
  </si>
  <si>
    <t>(+) Investments in minorities</t>
  </si>
  <si>
    <t>GBPUSD end of year</t>
  </si>
  <si>
    <t xml:space="preserve">Net earnings (loss) </t>
  </si>
  <si>
    <t>Cash cost (CCY/production unit)</t>
  </si>
  <si>
    <t>Net cash cost (CCY/production unit)</t>
  </si>
  <si>
    <t>FX to accounting CCY (end of year)</t>
  </si>
  <si>
    <t>Curent FX to accounting CCY</t>
  </si>
  <si>
    <t>Net profit attributable to equity shareholders</t>
  </si>
  <si>
    <t>Cash cost ($/lb) - excl. treatment &amp; refining charges and by-product</t>
  </si>
  <si>
    <t>Net cash cost ($/lb) - net of by-product revenue</t>
  </si>
  <si>
    <t>AVG</t>
  </si>
  <si>
    <t>AVG 10 YRS</t>
  </si>
  <si>
    <t>AVG 3 YRS</t>
  </si>
  <si>
    <t>Southern Copper</t>
  </si>
  <si>
    <t>Capstone Copper</t>
  </si>
  <si>
    <t>Taseko Mines</t>
  </si>
  <si>
    <t>USDCAD (end of year)</t>
  </si>
  <si>
    <t>Taseko</t>
  </si>
  <si>
    <t>SCC</t>
  </si>
  <si>
    <t>Capstone</t>
  </si>
  <si>
    <t>Teck Resources</t>
  </si>
  <si>
    <t>Ivanhoe Mines</t>
  </si>
  <si>
    <t>Lundin Mining</t>
  </si>
  <si>
    <t>Sandfire Resources</t>
  </si>
  <si>
    <t>First Quantum</t>
  </si>
  <si>
    <t>Hudbay Minerals</t>
  </si>
  <si>
    <t>AVERAGE</t>
  </si>
  <si>
    <t>Loans</t>
  </si>
  <si>
    <t>Impairment loss on financial and contract assets</t>
  </si>
  <si>
    <t>Reversal of Intangible Asset Impairment</t>
  </si>
  <si>
    <t>Payments for investments</t>
  </si>
  <si>
    <t>Debt with financial institutions &amp; Leases</t>
  </si>
  <si>
    <t>(58)-(82)</t>
  </si>
  <si>
    <t>NET CASH COST ($/lb)</t>
  </si>
  <si>
    <t>CASH COST ($/lb)</t>
  </si>
  <si>
    <t>2026E</t>
  </si>
  <si>
    <t>15.5-16.0 (M)</t>
  </si>
  <si>
    <t xml:space="preserve"> 2.6 - 2.9</t>
  </si>
  <si>
    <t>3.1 - 3.4</t>
  </si>
  <si>
    <t>50,000-54,000</t>
  </si>
  <si>
    <t>Dividend</t>
  </si>
  <si>
    <t>Loss on disposal of PP&amp;E</t>
  </si>
  <si>
    <t>Share option expense</t>
  </si>
  <si>
    <t>Valuation Multiples (at end of FY)</t>
  </si>
  <si>
    <t>Valuation Multiples (at current price)</t>
  </si>
  <si>
    <t>Source of historical data:</t>
  </si>
  <si>
    <t>Q1 2026 Financial Results</t>
  </si>
  <si>
    <t>Q2 2026 Operations Update</t>
  </si>
  <si>
    <t>Q2+H1 2026 Financial Results</t>
  </si>
  <si>
    <t>Q3 2026 Operations Update</t>
  </si>
  <si>
    <t>Q3+YTD 2026 Financial Results</t>
  </si>
  <si>
    <t>FY 2025 Financial Results</t>
  </si>
  <si>
    <t>Q1 2026 Operations Update</t>
  </si>
  <si>
    <t>Market Cap (at current price)</t>
  </si>
  <si>
    <t>Enterprise Value (at current price)</t>
  </si>
  <si>
    <t xml:space="preserve">Antofagasta (ANTO.L) - Peer analysis </t>
  </si>
  <si>
    <t>https://www.antofagasta.co.uk/investors/annual-report-2025/</t>
  </si>
  <si>
    <t>Taseko Mines (TKO.TO) - Peer analysis</t>
  </si>
  <si>
    <t>https://www.tasekomines.com/investors/documents-and-reports/form-f40/</t>
  </si>
  <si>
    <t>https://southerncoppercorp.com/eng/sec-filings/</t>
  </si>
  <si>
    <t>Southern Copper Corp. (SCCO.NY) - Peer analysis</t>
  </si>
  <si>
    <t>https://capstonecopper.com/investors/reports-and-filings/#h-financial-reports</t>
  </si>
  <si>
    <t>Capstone Copper Corp. (CS.TO) - Peer analysis</t>
  </si>
  <si>
    <t>Not available yet</t>
  </si>
  <si>
    <t>https://atalayamining.com/investors/financial-results/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</si>
</sst>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 &quot;€&quot;_-;\-* #,##0.00\ &quot;€&quot;_-;_-* &quot;-&quot;??\ &quot;€&quot;_-;_-@_-"/>
    <numFmt numFmtId="165" formatCode="0.00\x"/>
    <numFmt numFmtId="166" formatCode="0.0%"/>
    <numFmt numFmtId="167" formatCode="#,##0.0;\(#,##0.0\);&quot;-&quot;"/>
    <numFmt numFmtId="168" formatCode="#,##0.00;\(#,##0.00\);&quot;-&quot;"/>
    <numFmt numFmtId="169" formatCode="#,##0;\(#,##0\);&quot;-&quot;"/>
    <numFmt numFmtId="170" formatCode="0.0"/>
    <numFmt numFmtId="171" formatCode="#,##0.000_);\(#,##0.000\)"/>
    <numFmt numFmtId="172" formatCode="_-* #,##0.00\ [$€-C0A]_-;\-* #,##0.00\ [$€-C0A]_-;_-* &quot;-&quot;??\ [$€-C0A]_-;_-@_-"/>
    <numFmt numFmtId="173" formatCode="_([$SEK]\ * #,##0.00_);_([$SEK]\ * \(#,##0.00\);_([$SEK]\ * &quot;-&quot;??_);_(@_)"/>
    <numFmt numFmtId="174" formatCode="_-[$$-409]* #,##0.00_ ;_-[$$-409]* \-#,##0.00\ ;_-[$$-409]* &quot;-&quot;??_ ;_-@_ "/>
    <numFmt numFmtId="175" formatCode="_-[$£-809]* #,##0.00_-;\-[$£-809]* #,##0.00_-;_-[$£-809]* &quot;-&quot;??_-;_-@_-"/>
    <numFmt numFmtId="176" formatCode="&quot;Fail&quot;;&quot;Fail&quot;;&quot;OK&quot;"/>
    <numFmt numFmtId="177" formatCode="_([$CAD]\ * #,##0.00_);_([$CAD]\ * \(#,##0.00\);_([$CAD]\ * &quot;-&quot;??_);_(@_)"/>
    <numFmt numFmtId="178" formatCode="[$CAD]\ #,##0.00_);\([$CAD]\ #,##0.00\)"/>
  </numFmts>
  <fonts count="47" x14ac:knownFonts="1">
    <font>
      <sz val="11"/>
      <color theme="1"/>
      <name val="Calibri"/>
      <family val="2"/>
      <scheme val="minor"/>
    </font>
    <font>
      <sz val="11"/>
      <color theme="1"/>
      <name val="Palatino Linotype"/>
      <family val="2"/>
    </font>
    <font>
      <sz val="11"/>
      <color theme="1"/>
      <name val="Yu Gothic"/>
      <family val="2"/>
    </font>
    <font>
      <sz val="11"/>
      <color theme="1"/>
      <name val="Calibri"/>
      <family val="2"/>
      <scheme val="minor"/>
    </font>
    <font>
      <b/>
      <sz val="10"/>
      <color indexed="9"/>
      <name val="Arial"/>
      <family val="2"/>
    </font>
    <font>
      <b/>
      <sz val="11"/>
      <color theme="1"/>
      <name val="Yu Gothic"/>
      <family val="2"/>
    </font>
    <font>
      <sz val="18"/>
      <color theme="3"/>
      <name val="Cambria"/>
      <family val="2"/>
      <scheme val="major"/>
    </font>
    <font>
      <sz val="18"/>
      <color rgb="FFAD9750"/>
      <name val="Cambria"/>
      <family val="2"/>
      <scheme val="major"/>
    </font>
    <font>
      <b/>
      <sz val="11"/>
      <color theme="1"/>
      <name val="Cambria"/>
      <family val="1"/>
    </font>
    <font>
      <sz val="11"/>
      <color theme="1"/>
      <name val="Cambria"/>
      <family val="1"/>
    </font>
    <font>
      <b/>
      <sz val="11"/>
      <name val="Cambria"/>
      <family val="1"/>
    </font>
    <font>
      <sz val="11"/>
      <color rgb="FFAD9750"/>
      <name val="Calibri"/>
      <family val="2"/>
      <scheme val="minor"/>
    </font>
    <font>
      <b/>
      <sz val="10"/>
      <color rgb="FFAD9750"/>
      <name val="Tahoma"/>
      <family val="2"/>
    </font>
    <font>
      <sz val="11"/>
      <color rgb="FFAD9750"/>
      <name val="Cambria"/>
      <family val="2"/>
      <scheme val="major"/>
    </font>
    <font>
      <b/>
      <sz val="11"/>
      <color rgb="FFAD9750"/>
      <name val="Cambria"/>
      <family val="1"/>
      <scheme val="major"/>
    </font>
    <font>
      <b/>
      <sz val="14"/>
      <color rgb="FFAD9750"/>
      <name val="Cambria"/>
      <family val="1"/>
      <scheme val="major"/>
    </font>
    <font>
      <b/>
      <sz val="24"/>
      <color rgb="FFAD9750"/>
      <name val="Cambria"/>
      <family val="1"/>
      <scheme val="major"/>
    </font>
    <font>
      <b/>
      <sz val="11"/>
      <color rgb="FFAD9750"/>
      <name val="Cambria"/>
      <family val="1"/>
    </font>
    <font>
      <b/>
      <sz val="11"/>
      <color theme="1"/>
      <name val="Calibri"/>
      <family val="2"/>
      <scheme val="minor"/>
    </font>
    <font>
      <sz val="10"/>
      <color theme="1"/>
      <name val="Palatino Linotype"/>
      <family val="1"/>
    </font>
    <font>
      <b/>
      <sz val="11"/>
      <color theme="1"/>
      <name val="Palatino Linotype"/>
      <family val="1"/>
    </font>
    <font>
      <sz val="11"/>
      <name val="Calibri"/>
      <family val="2"/>
      <scheme val="minor"/>
    </font>
    <font>
      <sz val="11"/>
      <name val="Cambria"/>
      <family val="1"/>
    </font>
    <font>
      <sz val="11"/>
      <color rgb="FFAD9750"/>
      <name val="Cambria"/>
      <family val="1"/>
      <scheme val="major"/>
    </font>
    <font>
      <b/>
      <sz val="11"/>
      <color rgb="FFFF0000"/>
      <name val="Yu Gothic"/>
      <family val="2"/>
    </font>
    <font>
      <sz val="11"/>
      <color theme="1"/>
      <name val="Yu Gothic"/>
      <family val="2"/>
    </font>
    <font>
      <sz val="11"/>
      <name val="Yu Gothic"/>
      <family val="2"/>
    </font>
    <font>
      <b/>
      <sz val="11"/>
      <color theme="3"/>
      <name val="Calibri"/>
      <family val="2"/>
      <scheme val="minor"/>
    </font>
    <font>
      <b/>
      <sz val="11"/>
      <color theme="3"/>
      <name val="Cambria"/>
      <family val="1"/>
    </font>
    <font>
      <sz val="11"/>
      <color rgb="FFAD9750"/>
      <name val="Cambria"/>
      <family val="1"/>
    </font>
    <font>
      <b/>
      <sz val="11"/>
      <color theme="0"/>
      <name val="Calibri"/>
      <family val="2"/>
      <scheme val="minor"/>
    </font>
    <font>
      <b/>
      <sz val="24"/>
      <color rgb="FFAD9750"/>
      <name val="Cambria"/>
      <family val="1"/>
    </font>
    <font>
      <sz val="18"/>
      <color rgb="FFAD9750"/>
      <name val="Cambria"/>
      <family val="1"/>
    </font>
    <font>
      <b/>
      <sz val="12"/>
      <color rgb="FFAD9750"/>
      <name val="Cambria"/>
      <family val="1"/>
    </font>
    <font>
      <sz val="11"/>
      <color theme="1"/>
      <name val="Cambria"/>
      <family val="1"/>
      <scheme val="major"/>
    </font>
    <font>
      <sz val="11"/>
      <name val="Cambria"/>
      <family val="1"/>
      <scheme val="major"/>
    </font>
    <font>
      <sz val="9"/>
      <color indexed="81"/>
      <name val="Tahoma"/>
      <family val="2"/>
    </font>
    <font>
      <b/>
      <sz val="9"/>
      <color indexed="81"/>
      <name val="Tahoma"/>
      <family val="2"/>
    </font>
    <font>
      <sz val="11"/>
      <color theme="0" tint="-0.499984740745262"/>
      <name val="Cambria"/>
      <family val="1"/>
    </font>
    <font>
      <sz val="11"/>
      <color theme="0" tint="-0.499984740745262"/>
      <name val="Cambria"/>
      <family val="2"/>
      <scheme val="major"/>
    </font>
    <font>
      <sz val="11"/>
      <color theme="0" tint="-0.34998626667073579"/>
      <name val="Cambria"/>
      <family val="2"/>
      <scheme val="major"/>
    </font>
    <font>
      <sz val="11"/>
      <color theme="3"/>
      <name val="Cambria"/>
      <family val="1"/>
    </font>
    <font>
      <sz val="11"/>
      <color rgb="FFFF0000"/>
      <name val="Cambria"/>
      <family val="1"/>
    </font>
    <font>
      <b/>
      <sz val="11"/>
      <name val="Calibri"/>
      <family val="2"/>
      <scheme val="minor"/>
    </font>
    <font>
      <b/>
      <sz val="11"/>
      <color theme="0" tint="-0.499984740745262"/>
      <name val="Cambria"/>
      <family val="1"/>
    </font>
    <font>
      <u/>
      <sz val="11"/>
      <color theme="10"/>
      <name val="Calibri"/>
      <family val="2"/>
      <scheme val="minor"/>
    </font>
    <font>
      <sz val="11"/>
      <color rgb="FFAD9750"/>
      <name val="Blinker"/>
    </font>
  </fonts>
  <fills count="10">
    <fill>
      <patternFill patternType="none"/>
    </fill>
    <fill>
      <patternFill patternType="gray125"/>
    </fill>
    <fill>
      <patternFill patternType="solid">
        <fgColor rgb="FF4F81BD"/>
        <bgColor indexed="64"/>
      </patternFill>
    </fill>
    <fill>
      <patternFill patternType="solid">
        <fgColor theme="0"/>
        <bgColor indexed="64"/>
      </patternFill>
    </fill>
    <fill>
      <patternFill patternType="solid">
        <fgColor rgb="FFAD975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C4BD97"/>
        <bgColor indexed="64"/>
      </patternFill>
    </fill>
    <fill>
      <patternFill patternType="solid">
        <fgColor theme="2"/>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AD9750"/>
      </left>
      <right/>
      <top style="thick">
        <color rgb="FFAD9750"/>
      </top>
      <bottom/>
      <diagonal/>
    </border>
    <border>
      <left/>
      <right/>
      <top style="thick">
        <color rgb="FFAD9750"/>
      </top>
      <bottom/>
      <diagonal/>
    </border>
    <border>
      <left/>
      <right style="thick">
        <color rgb="FFAD9750"/>
      </right>
      <top style="thick">
        <color rgb="FFAD9750"/>
      </top>
      <bottom/>
      <diagonal/>
    </border>
    <border>
      <left style="thick">
        <color rgb="FFAD9750"/>
      </left>
      <right/>
      <top/>
      <bottom/>
      <diagonal/>
    </border>
    <border>
      <left/>
      <right style="thick">
        <color rgb="FFAD9750"/>
      </right>
      <top/>
      <bottom/>
      <diagonal/>
    </border>
    <border>
      <left style="thick">
        <color rgb="FFAD9750"/>
      </left>
      <right/>
      <top/>
      <bottom style="thick">
        <color rgb="FFAD9750"/>
      </bottom>
      <diagonal/>
    </border>
    <border>
      <left/>
      <right/>
      <top/>
      <bottom style="thick">
        <color rgb="FFAD9750"/>
      </bottom>
      <diagonal/>
    </border>
    <border>
      <left/>
      <right style="thick">
        <color rgb="FFAD9750"/>
      </right>
      <top/>
      <bottom style="thick">
        <color rgb="FFAD9750"/>
      </bottom>
      <diagonal/>
    </border>
    <border>
      <left style="medium">
        <color rgb="FFAD9750"/>
      </left>
      <right style="medium">
        <color rgb="FFAD9750"/>
      </right>
      <top style="medium">
        <color rgb="FFAD9750"/>
      </top>
      <bottom style="medium">
        <color rgb="FFAD9750"/>
      </bottom>
      <diagonal/>
    </border>
  </borders>
  <cellStyleXfs count="11">
    <xf numFmtId="0" fontId="0" fillId="0" borderId="0"/>
    <xf numFmtId="9" fontId="3" fillId="0" borderId="0" applyFont="0" applyFill="0" applyBorder="0" applyAlignment="0" applyProtection="0"/>
    <xf numFmtId="0" fontId="4" fillId="2" borderId="1">
      <alignment horizontal="left"/>
    </xf>
    <xf numFmtId="0" fontId="4" fillId="2" borderId="1">
      <alignment horizontal="right"/>
    </xf>
    <xf numFmtId="0" fontId="4" fillId="2" borderId="2">
      <alignment horizontal="right"/>
    </xf>
    <xf numFmtId="0" fontId="6" fillId="0" borderId="0" applyNumberFormat="0" applyFill="0" applyBorder="0" applyAlignment="0" applyProtection="0"/>
    <xf numFmtId="167" fontId="19" fillId="0" borderId="0">
      <alignment horizontal="center"/>
    </xf>
    <xf numFmtId="0" fontId="1" fillId="0" borderId="0"/>
    <xf numFmtId="164" fontId="3" fillId="0" borderId="0" applyFont="0" applyFill="0" applyBorder="0" applyAlignment="0" applyProtection="0"/>
    <xf numFmtId="44" fontId="3" fillId="0" borderId="0" applyFont="0" applyFill="0" applyBorder="0" applyAlignment="0" applyProtection="0"/>
    <xf numFmtId="0" fontId="45" fillId="0" borderId="0" applyNumberFormat="0" applyFill="0" applyBorder="0" applyAlignment="0" applyProtection="0"/>
  </cellStyleXfs>
  <cellXfs count="178">
    <xf numFmtId="0" fontId="0" fillId="0" borderId="0" xfId="0"/>
    <xf numFmtId="0" fontId="0" fillId="3" borderId="0" xfId="0" applyFill="1"/>
    <xf numFmtId="0" fontId="2" fillId="3" borderId="0" xfId="0" applyFont="1" applyFill="1"/>
    <xf numFmtId="0" fontId="0" fillId="4" borderId="0" xfId="0" applyFill="1"/>
    <xf numFmtId="0" fontId="9" fillId="3" borderId="0" xfId="0" applyFont="1" applyFill="1"/>
    <xf numFmtId="0" fontId="10" fillId="4" borderId="0" xfId="2" applyFont="1" applyFill="1" applyBorder="1" applyAlignment="1">
      <alignment horizontal="right"/>
    </xf>
    <xf numFmtId="0" fontId="10" fillId="4" borderId="0" xfId="3" applyFont="1" applyFill="1" applyBorder="1">
      <alignment horizontal="right"/>
    </xf>
    <xf numFmtId="0" fontId="11" fillId="4" borderId="0" xfId="0" applyFont="1" applyFill="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13" fillId="3" borderId="0" xfId="5" applyFont="1" applyFill="1" applyAlignment="1">
      <alignment horizontal="right"/>
    </xf>
    <xf numFmtId="0" fontId="7" fillId="3" borderId="0" xfId="5" applyFont="1" applyFill="1" applyAlignment="1">
      <alignment horizontal="right"/>
    </xf>
    <xf numFmtId="0" fontId="15" fillId="3" borderId="0" xfId="5" applyFont="1" applyFill="1" applyAlignment="1">
      <alignment horizontal="right"/>
    </xf>
    <xf numFmtId="0" fontId="15" fillId="3" borderId="0" xfId="5" applyFont="1" applyFill="1" applyAlignment="1">
      <alignment horizontal="right" wrapText="1"/>
    </xf>
    <xf numFmtId="0" fontId="5" fillId="3" borderId="0" xfId="0" applyFont="1" applyFill="1"/>
    <xf numFmtId="2" fontId="5" fillId="3" borderId="0" xfId="0" applyNumberFormat="1" applyFont="1" applyFill="1"/>
    <xf numFmtId="2" fontId="9" fillId="3" borderId="0" xfId="0" applyNumberFormat="1" applyFont="1" applyFill="1" applyAlignment="1">
      <alignment horizontal="right"/>
    </xf>
    <xf numFmtId="0" fontId="7" fillId="3" borderId="0" xfId="5" applyFont="1" applyFill="1" applyAlignment="1">
      <alignment horizontal="left"/>
    </xf>
    <xf numFmtId="0" fontId="16" fillId="3" borderId="0" xfId="5" applyFont="1" applyFill="1"/>
    <xf numFmtId="2" fontId="8" fillId="6" borderId="0" xfId="0" applyNumberFormat="1" applyFont="1" applyFill="1"/>
    <xf numFmtId="10" fontId="9" fillId="6" borderId="0" xfId="1" applyNumberFormat="1" applyFont="1" applyFill="1" applyBorder="1"/>
    <xf numFmtId="2" fontId="8" fillId="6" borderId="0" xfId="0" applyNumberFormat="1" applyFont="1" applyFill="1" applyAlignment="1">
      <alignment horizontal="right"/>
    </xf>
    <xf numFmtId="10" fontId="17" fillId="6" borderId="0" xfId="1" applyNumberFormat="1" applyFont="1" applyFill="1" applyBorder="1"/>
    <xf numFmtId="0" fontId="20" fillId="3" borderId="11" xfId="0" applyFont="1" applyFill="1" applyBorder="1"/>
    <xf numFmtId="2" fontId="9" fillId="3" borderId="0" xfId="0" applyNumberFormat="1" applyFont="1" applyFill="1"/>
    <xf numFmtId="10" fontId="0" fillId="3" borderId="0" xfId="1" applyNumberFormat="1" applyFont="1" applyFill="1"/>
    <xf numFmtId="2" fontId="8" fillId="5" borderId="0" xfId="0" applyNumberFormat="1" applyFont="1" applyFill="1"/>
    <xf numFmtId="10" fontId="9" fillId="5" borderId="0" xfId="1" applyNumberFormat="1" applyFont="1" applyFill="1" applyBorder="1"/>
    <xf numFmtId="2" fontId="0" fillId="3" borderId="0" xfId="0" applyNumberFormat="1" applyFill="1"/>
    <xf numFmtId="169" fontId="0" fillId="3" borderId="0" xfId="0" applyNumberFormat="1" applyFill="1"/>
    <xf numFmtId="2" fontId="10" fillId="5" borderId="0" xfId="0" applyNumberFormat="1" applyFont="1" applyFill="1" applyAlignment="1">
      <alignment horizontal="right"/>
    </xf>
    <xf numFmtId="0" fontId="23" fillId="3" borderId="0" xfId="5" applyFont="1" applyFill="1" applyAlignment="1">
      <alignment horizontal="right"/>
    </xf>
    <xf numFmtId="0" fontId="24" fillId="3" borderId="0" xfId="0" applyFont="1" applyFill="1"/>
    <xf numFmtId="2" fontId="9" fillId="5" borderId="0" xfId="0" applyNumberFormat="1" applyFont="1" applyFill="1"/>
    <xf numFmtId="2" fontId="8" fillId="5" borderId="0" xfId="0" applyNumberFormat="1" applyFont="1" applyFill="1" applyAlignment="1">
      <alignment horizontal="right"/>
    </xf>
    <xf numFmtId="0" fontId="13" fillId="3" borderId="0" xfId="5" applyFont="1" applyFill="1" applyAlignment="1">
      <alignment horizontal="right" wrapText="1"/>
    </xf>
    <xf numFmtId="2" fontId="9" fillId="6" borderId="0" xfId="0" applyNumberFormat="1" applyFont="1" applyFill="1"/>
    <xf numFmtId="0" fontId="0" fillId="3" borderId="0" xfId="0" applyFill="1" applyAlignment="1">
      <alignment horizontal="right"/>
    </xf>
    <xf numFmtId="0" fontId="14" fillId="3" borderId="0" xfId="5" applyFont="1" applyFill="1" applyAlignment="1">
      <alignment horizontal="right" wrapText="1"/>
    </xf>
    <xf numFmtId="166" fontId="0" fillId="3" borderId="0" xfId="1" applyNumberFormat="1" applyFont="1" applyFill="1"/>
    <xf numFmtId="2" fontId="25" fillId="3" borderId="0" xfId="0" applyNumberFormat="1" applyFont="1" applyFill="1"/>
    <xf numFmtId="10" fontId="9" fillId="6" borderId="0" xfId="1" applyNumberFormat="1" applyFont="1" applyFill="1" applyBorder="1" applyAlignment="1">
      <alignment horizontal="right"/>
    </xf>
    <xf numFmtId="166" fontId="9" fillId="5" borderId="0" xfId="1" applyNumberFormat="1" applyFont="1" applyFill="1" applyBorder="1"/>
    <xf numFmtId="4" fontId="0" fillId="3" borderId="0" xfId="0" applyNumberFormat="1" applyFill="1" applyAlignment="1">
      <alignment horizontal="right"/>
    </xf>
    <xf numFmtId="2" fontId="0" fillId="3" borderId="0" xfId="0" applyNumberFormat="1" applyFill="1" applyAlignment="1">
      <alignment horizontal="right"/>
    </xf>
    <xf numFmtId="165" fontId="2" fillId="3" borderId="0" xfId="0" applyNumberFormat="1" applyFont="1" applyFill="1"/>
    <xf numFmtId="0" fontId="23" fillId="3" borderId="0" xfId="0" applyFont="1" applyFill="1"/>
    <xf numFmtId="0" fontId="13" fillId="3" borderId="0" xfId="5" applyFont="1" applyFill="1" applyAlignment="1">
      <alignment horizontal="right" vertical="center" wrapText="1"/>
    </xf>
    <xf numFmtId="0" fontId="0" fillId="3" borderId="0" xfId="0" applyFill="1" applyAlignment="1">
      <alignment vertical="center"/>
    </xf>
    <xf numFmtId="166" fontId="17" fillId="6" borderId="0" xfId="1" applyNumberFormat="1" applyFont="1" applyFill="1" applyBorder="1"/>
    <xf numFmtId="2" fontId="10" fillId="6" borderId="0" xfId="0" applyNumberFormat="1" applyFont="1" applyFill="1"/>
    <xf numFmtId="2" fontId="22" fillId="6" borderId="0" xfId="0" applyNumberFormat="1" applyFont="1" applyFill="1"/>
    <xf numFmtId="168" fontId="22" fillId="5" borderId="0" xfId="0" applyNumberFormat="1" applyFont="1" applyFill="1" applyAlignment="1">
      <alignment horizontal="right"/>
    </xf>
    <xf numFmtId="168" fontId="8" fillId="5" borderId="0" xfId="0" applyNumberFormat="1" applyFont="1" applyFill="1"/>
    <xf numFmtId="168" fontId="10" fillId="5" borderId="0" xfId="0" applyNumberFormat="1" applyFont="1" applyFill="1"/>
    <xf numFmtId="166" fontId="22" fillId="5" borderId="0" xfId="1" applyNumberFormat="1" applyFont="1" applyFill="1" applyBorder="1"/>
    <xf numFmtId="168" fontId="10" fillId="5" borderId="0" xfId="0" applyNumberFormat="1" applyFont="1" applyFill="1" applyAlignment="1">
      <alignment horizontal="right"/>
    </xf>
    <xf numFmtId="168" fontId="22" fillId="3" borderId="0" xfId="0" applyNumberFormat="1" applyFont="1" applyFill="1" applyAlignment="1">
      <alignment horizontal="right"/>
    </xf>
    <xf numFmtId="0" fontId="0" fillId="3" borderId="0" xfId="1" applyNumberFormat="1" applyFont="1" applyFill="1"/>
    <xf numFmtId="39" fontId="0" fillId="3" borderId="0" xfId="0" applyNumberFormat="1" applyFill="1"/>
    <xf numFmtId="171" fontId="0" fillId="3" borderId="0" xfId="0" applyNumberFormat="1" applyFill="1"/>
    <xf numFmtId="168" fontId="10" fillId="6" borderId="0" xfId="0" applyNumberFormat="1" applyFont="1" applyFill="1" applyAlignment="1">
      <alignment horizontal="right"/>
    </xf>
    <xf numFmtId="168" fontId="8" fillId="6" borderId="0" xfId="0" applyNumberFormat="1" applyFont="1" applyFill="1"/>
    <xf numFmtId="168" fontId="10" fillId="6" borderId="0" xfId="0" applyNumberFormat="1" applyFont="1" applyFill="1"/>
    <xf numFmtId="168" fontId="8" fillId="6" borderId="0" xfId="0" applyNumberFormat="1" applyFont="1" applyFill="1" applyAlignment="1">
      <alignment horizontal="right"/>
    </xf>
    <xf numFmtId="168" fontId="22" fillId="6" borderId="0" xfId="0" applyNumberFormat="1" applyFont="1" applyFill="1" applyAlignment="1">
      <alignment horizontal="right"/>
    </xf>
    <xf numFmtId="2" fontId="26" fillId="6" borderId="0" xfId="0" applyNumberFormat="1" applyFont="1" applyFill="1" applyAlignment="1">
      <alignment vertical="center"/>
    </xf>
    <xf numFmtId="168" fontId="28" fillId="5" borderId="0" xfId="0" applyNumberFormat="1" applyFont="1" applyFill="1" applyAlignment="1">
      <alignment horizontal="right"/>
    </xf>
    <xf numFmtId="0" fontId="27" fillId="3" borderId="0" xfId="0" applyFont="1" applyFill="1"/>
    <xf numFmtId="2" fontId="9" fillId="6" borderId="0" xfId="1" applyNumberFormat="1" applyFont="1" applyFill="1" applyBorder="1"/>
    <xf numFmtId="0" fontId="0" fillId="5" borderId="0" xfId="0" applyFill="1"/>
    <xf numFmtId="0" fontId="0" fillId="6" borderId="0" xfId="0" applyFill="1"/>
    <xf numFmtId="10" fontId="22" fillId="6" borderId="0" xfId="1" applyNumberFormat="1" applyFont="1" applyFill="1" applyBorder="1"/>
    <xf numFmtId="0" fontId="23" fillId="3" borderId="0" xfId="5" applyFont="1" applyFill="1" applyAlignment="1">
      <alignment horizontal="right" wrapText="1"/>
    </xf>
    <xf numFmtId="0" fontId="23" fillId="3" borderId="0" xfId="5" applyFont="1" applyFill="1" applyAlignment="1">
      <alignment horizontal="right" vertical="center" wrapText="1"/>
    </xf>
    <xf numFmtId="2" fontId="9" fillId="6" borderId="0" xfId="0" applyNumberFormat="1" applyFont="1" applyFill="1" applyAlignment="1">
      <alignment horizontal="right"/>
    </xf>
    <xf numFmtId="2" fontId="9" fillId="6" borderId="0" xfId="0" applyNumberFormat="1" applyFont="1" applyFill="1" applyAlignment="1">
      <alignment horizontal="right" vertical="center"/>
    </xf>
    <xf numFmtId="165" fontId="2" fillId="5" borderId="0" xfId="0" applyNumberFormat="1" applyFont="1" applyFill="1" applyAlignment="1">
      <alignment horizontal="right"/>
    </xf>
    <xf numFmtId="165" fontId="2" fillId="6" borderId="0" xfId="0" applyNumberFormat="1" applyFont="1" applyFill="1" applyAlignment="1">
      <alignment horizontal="right"/>
    </xf>
    <xf numFmtId="10" fontId="2" fillId="5" borderId="0" xfId="1" applyNumberFormat="1" applyFont="1" applyFill="1" applyAlignment="1">
      <alignment horizontal="right"/>
    </xf>
    <xf numFmtId="169" fontId="17" fillId="6" borderId="0" xfId="0" applyNumberFormat="1" applyFont="1" applyFill="1"/>
    <xf numFmtId="169" fontId="22" fillId="5" borderId="0" xfId="0" applyNumberFormat="1" applyFont="1" applyFill="1" applyAlignment="1">
      <alignment horizontal="right"/>
    </xf>
    <xf numFmtId="170" fontId="21" fillId="3" borderId="0" xfId="0" applyNumberFormat="1" applyFont="1" applyFill="1"/>
    <xf numFmtId="173" fontId="0" fillId="3" borderId="0" xfId="0" applyNumberFormat="1" applyFill="1"/>
    <xf numFmtId="174" fontId="0" fillId="3" borderId="0" xfId="0" applyNumberFormat="1" applyFill="1"/>
    <xf numFmtId="168" fontId="9" fillId="5" borderId="0" xfId="0" applyNumberFormat="1" applyFont="1" applyFill="1" applyAlignment="1">
      <alignment horizontal="right"/>
    </xf>
    <xf numFmtId="14" fontId="18" fillId="3" borderId="0" xfId="0" applyNumberFormat="1" applyFont="1" applyFill="1"/>
    <xf numFmtId="3" fontId="0" fillId="3" borderId="0" xfId="0" applyNumberFormat="1" applyFill="1" applyAlignment="1">
      <alignment horizontal="right"/>
    </xf>
    <xf numFmtId="3" fontId="30" fillId="3" borderId="0" xfId="0" applyNumberFormat="1" applyFont="1" applyFill="1" applyAlignment="1">
      <alignment horizontal="right"/>
    </xf>
    <xf numFmtId="10" fontId="2" fillId="6" borderId="0" xfId="1" applyNumberFormat="1" applyFont="1" applyFill="1" applyAlignment="1">
      <alignment horizontal="right"/>
    </xf>
    <xf numFmtId="166" fontId="22" fillId="5" borderId="0" xfId="1" applyNumberFormat="1" applyFont="1" applyFill="1" applyBorder="1" applyAlignment="1">
      <alignment horizontal="right"/>
    </xf>
    <xf numFmtId="168" fontId="9" fillId="5" borderId="0" xfId="0" applyNumberFormat="1" applyFont="1" applyFill="1" applyAlignment="1">
      <alignment horizontal="right" vertical="center"/>
    </xf>
    <xf numFmtId="168" fontId="22" fillId="5" borderId="0" xfId="0" applyNumberFormat="1" applyFont="1" applyFill="1" applyAlignment="1">
      <alignment vertical="center"/>
    </xf>
    <xf numFmtId="0" fontId="9" fillId="4" borderId="0" xfId="0" applyFont="1" applyFill="1"/>
    <xf numFmtId="0" fontId="31" fillId="3" borderId="0" xfId="5" applyFont="1" applyFill="1"/>
    <xf numFmtId="0" fontId="32" fillId="3" borderId="0" xfId="5" applyFont="1" applyFill="1" applyAlignment="1">
      <alignment horizontal="left"/>
    </xf>
    <xf numFmtId="0" fontId="33" fillId="3" borderId="0" xfId="5" applyFont="1" applyFill="1"/>
    <xf numFmtId="0" fontId="29" fillId="3" borderId="0" xfId="5" applyFont="1" applyFill="1" applyAlignment="1">
      <alignment horizontal="right"/>
    </xf>
    <xf numFmtId="175" fontId="21" fillId="3" borderId="0" xfId="0" applyNumberFormat="1" applyFont="1" applyFill="1"/>
    <xf numFmtId="0" fontId="18" fillId="3" borderId="0" xfId="0" applyFont="1" applyFill="1"/>
    <xf numFmtId="170" fontId="21" fillId="7" borderId="0" xfId="0" applyNumberFormat="1" applyFont="1" applyFill="1"/>
    <xf numFmtId="10" fontId="0" fillId="7" borderId="0" xfId="1" applyNumberFormat="1" applyFont="1" applyFill="1" applyAlignment="1">
      <alignment horizontal="right"/>
    </xf>
    <xf numFmtId="175" fontId="0" fillId="7" borderId="0" xfId="0" applyNumberFormat="1" applyFill="1" applyAlignment="1">
      <alignment horizontal="right"/>
    </xf>
    <xf numFmtId="0" fontId="11" fillId="3" borderId="0" xfId="0" applyFont="1" applyFill="1" applyAlignment="1">
      <alignment horizontal="centerContinuous"/>
    </xf>
    <xf numFmtId="0" fontId="39" fillId="3" borderId="0" xfId="5" applyFont="1" applyFill="1" applyAlignment="1">
      <alignment horizontal="right"/>
    </xf>
    <xf numFmtId="168" fontId="38" fillId="5" borderId="0" xfId="0" applyNumberFormat="1" applyFont="1" applyFill="1" applyAlignment="1">
      <alignment horizontal="right"/>
    </xf>
    <xf numFmtId="0" fontId="40" fillId="3" borderId="0" xfId="5" applyFont="1" applyFill="1" applyAlignment="1">
      <alignment horizontal="right" vertical="center" wrapText="1"/>
    </xf>
    <xf numFmtId="0" fontId="10" fillId="3" borderId="0" xfId="2" applyFont="1" applyFill="1" applyBorder="1" applyAlignment="1">
      <alignment horizontal="right"/>
    </xf>
    <xf numFmtId="165" fontId="10" fillId="3" borderId="0" xfId="0" applyNumberFormat="1" applyFont="1" applyFill="1" applyAlignment="1">
      <alignment horizontal="right"/>
    </xf>
    <xf numFmtId="10" fontId="22" fillId="5" borderId="0" xfId="1" applyNumberFormat="1" applyFont="1" applyFill="1" applyBorder="1" applyAlignment="1">
      <alignment horizontal="right"/>
    </xf>
    <xf numFmtId="10" fontId="9" fillId="5" borderId="0" xfId="1" applyNumberFormat="1" applyFont="1" applyFill="1" applyBorder="1" applyAlignment="1">
      <alignment horizontal="right"/>
    </xf>
    <xf numFmtId="176" fontId="0" fillId="3" borderId="0" xfId="0" applyNumberFormat="1" applyFill="1" applyAlignment="1">
      <alignment horizontal="right"/>
    </xf>
    <xf numFmtId="168" fontId="42" fillId="5" borderId="0" xfId="0" applyNumberFormat="1" applyFont="1" applyFill="1" applyAlignment="1">
      <alignment horizontal="right"/>
    </xf>
    <xf numFmtId="0" fontId="15" fillId="3" borderId="0" xfId="5" applyNumberFormat="1" applyFont="1" applyFill="1" applyAlignment="1">
      <alignment horizontal="right" wrapText="1"/>
    </xf>
    <xf numFmtId="0" fontId="13" fillId="0" borderId="0" xfId="5" applyFont="1" applyFill="1" applyAlignment="1">
      <alignment horizontal="right"/>
    </xf>
    <xf numFmtId="169" fontId="22" fillId="5" borderId="0" xfId="0" applyNumberFormat="1" applyFont="1" applyFill="1" applyAlignment="1">
      <alignment vertical="center"/>
    </xf>
    <xf numFmtId="168" fontId="22" fillId="5" borderId="0" xfId="0" applyNumberFormat="1" applyFont="1" applyFill="1" applyAlignment="1">
      <alignment horizontal="right" vertical="center"/>
    </xf>
    <xf numFmtId="44" fontId="21" fillId="3" borderId="0" xfId="9" applyFont="1" applyFill="1"/>
    <xf numFmtId="44" fontId="0" fillId="7" borderId="0" xfId="9" applyFont="1" applyFill="1" applyAlignment="1">
      <alignment horizontal="right"/>
    </xf>
    <xf numFmtId="44" fontId="21" fillId="3" borderId="0" xfId="9" applyFont="1" applyFill="1" applyAlignment="1">
      <alignment horizontal="right"/>
    </xf>
    <xf numFmtId="44" fontId="43" fillId="3" borderId="0" xfId="9" applyFont="1" applyFill="1"/>
    <xf numFmtId="165" fontId="0" fillId="7" borderId="0" xfId="0" applyNumberFormat="1" applyFill="1" applyAlignment="1">
      <alignment horizontal="right"/>
    </xf>
    <xf numFmtId="0" fontId="0" fillId="8" borderId="0" xfId="0" applyFill="1"/>
    <xf numFmtId="165" fontId="0" fillId="8" borderId="0" xfId="0" applyNumberFormat="1" applyFill="1" applyAlignment="1">
      <alignment horizontal="right"/>
    </xf>
    <xf numFmtId="44" fontId="18" fillId="8" borderId="0" xfId="0" applyNumberFormat="1" applyFont="1" applyFill="1"/>
    <xf numFmtId="44" fontId="18" fillId="7" borderId="0" xfId="9" applyFont="1" applyFill="1" applyAlignment="1">
      <alignment horizontal="right"/>
    </xf>
    <xf numFmtId="175" fontId="0" fillId="3" borderId="0" xfId="0" applyNumberFormat="1" applyFill="1"/>
    <xf numFmtId="177" fontId="0" fillId="7" borderId="0" xfId="0" applyNumberFormat="1" applyFill="1" applyAlignment="1">
      <alignment horizontal="right"/>
    </xf>
    <xf numFmtId="178" fontId="43" fillId="3" borderId="0" xfId="0" applyNumberFormat="1" applyFont="1" applyFill="1"/>
    <xf numFmtId="178" fontId="21" fillId="3" borderId="0" xfId="0" applyNumberFormat="1" applyFont="1" applyFill="1"/>
    <xf numFmtId="178" fontId="21" fillId="3" borderId="0" xfId="9" applyNumberFormat="1" applyFont="1" applyFill="1" applyAlignment="1">
      <alignment horizontal="right"/>
    </xf>
    <xf numFmtId="178" fontId="21" fillId="3" borderId="0" xfId="9" applyNumberFormat="1" applyFont="1" applyFill="1"/>
    <xf numFmtId="0" fontId="17" fillId="3" borderId="0" xfId="5" applyFont="1" applyFill="1" applyAlignment="1">
      <alignment horizontal="right"/>
    </xf>
    <xf numFmtId="172" fontId="0" fillId="8" borderId="0" xfId="0" applyNumberFormat="1" applyFill="1"/>
    <xf numFmtId="170" fontId="0" fillId="8" borderId="0" xfId="0" applyNumberFormat="1" applyFill="1"/>
    <xf numFmtId="166" fontId="0" fillId="8" borderId="0" xfId="1" applyNumberFormat="1" applyFont="1" applyFill="1"/>
    <xf numFmtId="172" fontId="0" fillId="8" borderId="0" xfId="8" applyNumberFormat="1" applyFont="1" applyFill="1"/>
    <xf numFmtId="44" fontId="18" fillId="8" borderId="0" xfId="9" applyFont="1" applyFill="1"/>
    <xf numFmtId="44" fontId="3" fillId="7" borderId="0" xfId="9" applyFont="1" applyFill="1" applyAlignment="1">
      <alignment horizontal="right"/>
    </xf>
    <xf numFmtId="165" fontId="34" fillId="5" borderId="0" xfId="0" applyNumberFormat="1" applyFont="1" applyFill="1" applyAlignment="1">
      <alignment horizontal="right" vertical="center"/>
    </xf>
    <xf numFmtId="165" fontId="2" fillId="6" borderId="0" xfId="0" applyNumberFormat="1" applyFont="1" applyFill="1" applyAlignment="1">
      <alignment horizontal="right" vertical="center"/>
    </xf>
    <xf numFmtId="165" fontId="35" fillId="5" borderId="0" xfId="0" applyNumberFormat="1" applyFont="1" applyFill="1" applyAlignment="1">
      <alignment horizontal="right" vertical="center"/>
    </xf>
    <xf numFmtId="165" fontId="26" fillId="6" borderId="0" xfId="0" applyNumberFormat="1" applyFont="1" applyFill="1" applyAlignment="1">
      <alignment horizontal="right" vertical="center"/>
    </xf>
    <xf numFmtId="166" fontId="35" fillId="5" borderId="0" xfId="0" applyNumberFormat="1" applyFont="1" applyFill="1" applyAlignment="1">
      <alignment horizontal="right" vertical="center"/>
    </xf>
    <xf numFmtId="166" fontId="22" fillId="6" borderId="0" xfId="0" applyNumberFormat="1" applyFont="1" applyFill="1" applyAlignment="1">
      <alignment horizontal="right" vertical="center"/>
    </xf>
    <xf numFmtId="177" fontId="21" fillId="7" borderId="0" xfId="0" applyNumberFormat="1" applyFont="1" applyFill="1" applyAlignment="1">
      <alignment horizontal="right"/>
    </xf>
    <xf numFmtId="177" fontId="43" fillId="7" borderId="0" xfId="0" applyNumberFormat="1" applyFont="1" applyFill="1" applyAlignment="1">
      <alignment horizontal="right"/>
    </xf>
    <xf numFmtId="10" fontId="21" fillId="7" borderId="0" xfId="1" applyNumberFormat="1" applyFont="1" applyFill="1" applyAlignment="1">
      <alignment horizontal="right"/>
    </xf>
    <xf numFmtId="44" fontId="43" fillId="7" borderId="0" xfId="9" applyFont="1" applyFill="1" applyAlignment="1">
      <alignment horizontal="right"/>
    </xf>
    <xf numFmtId="44" fontId="21" fillId="7" borderId="0" xfId="9" applyFont="1" applyFill="1" applyAlignment="1">
      <alignment horizontal="right"/>
    </xf>
    <xf numFmtId="10" fontId="43" fillId="3" borderId="0" xfId="1" applyNumberFormat="1" applyFont="1" applyFill="1" applyAlignment="1">
      <alignment horizontal="right"/>
    </xf>
    <xf numFmtId="44" fontId="0" fillId="8" borderId="0" xfId="9" applyFont="1" applyFill="1"/>
    <xf numFmtId="44" fontId="0" fillId="3" borderId="0" xfId="0" applyNumberFormat="1" applyFill="1"/>
    <xf numFmtId="44" fontId="18" fillId="9" borderId="0" xfId="0" applyNumberFormat="1" applyFont="1" applyFill="1"/>
    <xf numFmtId="2" fontId="41" fillId="6" borderId="0" xfId="0" applyNumberFormat="1" applyFont="1" applyFill="1" applyAlignment="1">
      <alignment horizontal="right"/>
    </xf>
    <xf numFmtId="0" fontId="33" fillId="3" borderId="0" xfId="5" applyNumberFormat="1" applyFont="1" applyFill="1"/>
    <xf numFmtId="43" fontId="0" fillId="7" borderId="0" xfId="0" applyNumberFormat="1" applyFill="1" applyAlignment="1">
      <alignment horizontal="right"/>
    </xf>
    <xf numFmtId="43" fontId="0" fillId="7" borderId="0" xfId="9" applyNumberFormat="1" applyFont="1" applyFill="1" applyAlignment="1">
      <alignment horizontal="right"/>
    </xf>
    <xf numFmtId="39" fontId="21" fillId="3" borderId="0" xfId="9" applyNumberFormat="1" applyFont="1" applyFill="1"/>
    <xf numFmtId="43" fontId="21" fillId="3" borderId="0" xfId="9" applyNumberFormat="1" applyFont="1" applyFill="1"/>
    <xf numFmtId="165" fontId="0" fillId="3" borderId="0" xfId="0" applyNumberFormat="1" applyFill="1" applyAlignment="1">
      <alignment horizontal="right"/>
    </xf>
    <xf numFmtId="0" fontId="44" fillId="3" borderId="0" xfId="5" applyFont="1" applyFill="1" applyAlignment="1">
      <alignment horizontal="right"/>
    </xf>
    <xf numFmtId="0" fontId="16" fillId="3" borderId="0" xfId="5" applyFont="1" applyFill="1"/>
    <xf numFmtId="0" fontId="20" fillId="3" borderId="11" xfId="0" applyFont="1" applyFill="1" applyBorder="1" applyAlignment="1">
      <alignment horizontal="center"/>
    </xf>
    <xf numFmtId="14" fontId="21" fillId="3" borderId="11" xfId="0" applyNumberFormat="1" applyFont="1" applyFill="1" applyBorder="1" applyAlignment="1">
      <alignment horizontal="right"/>
    </xf>
    <xf numFmtId="14" fontId="21" fillId="3" borderId="11" xfId="0" applyNumberFormat="1" applyFont="1" applyFill="1" applyBorder="1"/>
    <xf numFmtId="169" fontId="41" fillId="6" borderId="0" xfId="0" applyNumberFormat="1" applyFont="1" applyFill="1" applyAlignment="1">
      <alignment horizontal="right"/>
    </xf>
    <xf numFmtId="169" fontId="22" fillId="6" borderId="0" xfId="0" applyNumberFormat="1" applyFont="1" applyFill="1" applyAlignment="1">
      <alignment horizontal="right"/>
    </xf>
    <xf numFmtId="168" fontId="9" fillId="5" borderId="0" xfId="0" applyNumberFormat="1" applyFont="1" applyFill="1"/>
    <xf numFmtId="168" fontId="8" fillId="5" borderId="0" xfId="0" applyNumberFormat="1" applyFont="1" applyFill="1" applyAlignment="1">
      <alignment horizontal="right" vertical="center"/>
    </xf>
    <xf numFmtId="0" fontId="45" fillId="3" borderId="0" xfId="10" applyFill="1"/>
    <xf numFmtId="0" fontId="46" fillId="3" borderId="0" xfId="5" applyFont="1" applyFill="1" applyAlignment="1">
      <alignment horizontal="right"/>
    </xf>
  </cellXfs>
  <cellStyles count="11">
    <cellStyle name="Currency" xfId="9" builtinId="4"/>
    <cellStyle name="Currency 2" xfId="8" xr:uid="{8E057330-67C6-484B-9408-D462C1FCE867}"/>
    <cellStyle name="fa_column_header_bottom" xfId="4" xr:uid="{00000000-0005-0000-0000-000001000000}"/>
    <cellStyle name="fa_column_header_top" xfId="3" xr:uid="{00000000-0005-0000-0000-000002000000}"/>
    <cellStyle name="fa_column_header_top_left" xfId="2" xr:uid="{00000000-0005-0000-0000-000003000000}"/>
    <cellStyle name="Hyperlink" xfId="10" builtinId="8"/>
    <cellStyle name="Normal" xfId="0" builtinId="0"/>
    <cellStyle name="Normal 2" xfId="6" xr:uid="{00000000-0005-0000-0000-000006000000}"/>
    <cellStyle name="Normal 3" xfId="7" xr:uid="{00000000-0005-0000-0000-000007000000}"/>
    <cellStyle name="Percent" xfId="1" builtinId="5"/>
    <cellStyle name="Title" xfId="5" builtinId="15"/>
  </cellStyles>
  <dxfs count="2">
    <dxf>
      <font>
        <color rgb="FF00B050"/>
      </font>
      <fill>
        <patternFill>
          <bgColor theme="6" tint="0.79998168889431442"/>
        </patternFill>
      </fill>
    </dxf>
    <dxf>
      <font>
        <color rgb="FF00B050"/>
      </font>
      <fill>
        <patternFill>
          <bgColor theme="6" tint="0.79998168889431442"/>
        </patternFill>
      </fill>
    </dxf>
  </dxfs>
  <tableStyles count="0" defaultTableStyle="TableStyleMedium2" defaultPivotStyle="PivotStyleMedium9"/>
  <colors>
    <mruColors>
      <color rgb="FFAD9750"/>
      <color rgb="FFC1B497"/>
      <color rgb="FFB9FF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sv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17</xdr:row>
      <xdr:rowOff>163285</xdr:rowOff>
    </xdr:from>
    <xdr:to>
      <xdr:col>1</xdr:col>
      <xdr:colOff>3904344</xdr:colOff>
      <xdr:row>32</xdr:row>
      <xdr:rowOff>119931</xdr:rowOff>
    </xdr:to>
    <xdr:pic>
      <xdr:nvPicPr>
        <xdr:cNvPr id="2" name="Picture 1" descr="Image result for financial data">
          <a:extLst>
            <a:ext uri="{FF2B5EF4-FFF2-40B4-BE49-F238E27FC236}">
              <a16:creationId xmlns:a16="http://schemas.microsoft.com/office/drawing/2014/main" id="{42F3A7AE-D54B-4288-8B55-0F72BD1675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6" y="3592285"/>
          <a:ext cx="3904343" cy="286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399435</xdr:colOff>
      <xdr:row>113</xdr:row>
      <xdr:rowOff>0</xdr:rowOff>
    </xdr:from>
    <xdr:to>
      <xdr:col>40</xdr:col>
      <xdr:colOff>167727</xdr:colOff>
      <xdr:row>125</xdr:row>
      <xdr:rowOff>2521</xdr:rowOff>
    </xdr:to>
    <xdr:pic>
      <xdr:nvPicPr>
        <xdr:cNvPr id="3" name="Imagen 5" descr="Tabla&#10;&#10;Descripción generada automáticamente">
          <a:extLst>
            <a:ext uri="{FF2B5EF4-FFF2-40B4-BE49-F238E27FC236}">
              <a16:creationId xmlns:a16="http://schemas.microsoft.com/office/drawing/2014/main" id="{1C1B466B-1663-463E-8825-558B4531FEE1}"/>
            </a:ext>
          </a:extLst>
        </xdr:cNvPr>
        <xdr:cNvPicPr>
          <a:picLocks noChangeAspect="1"/>
        </xdr:cNvPicPr>
      </xdr:nvPicPr>
      <xdr:blipFill>
        <a:blip xmlns:r="http://schemas.openxmlformats.org/officeDocument/2006/relationships" r:embed="rId2"/>
        <a:stretch>
          <a:fillRect/>
        </a:stretch>
      </xdr:blipFill>
      <xdr:spPr>
        <a:xfrm>
          <a:off x="51281985" y="29054835"/>
          <a:ext cx="6905697" cy="2491270"/>
        </a:xfrm>
        <a:prstGeom prst="rect">
          <a:avLst/>
        </a:prstGeom>
      </xdr:spPr>
    </xdr:pic>
    <xdr:clientData/>
  </xdr:twoCellAnchor>
  <xdr:twoCellAnchor editAs="oneCell">
    <xdr:from>
      <xdr:col>0</xdr:col>
      <xdr:colOff>585549</xdr:colOff>
      <xdr:row>1</xdr:row>
      <xdr:rowOff>160358</xdr:rowOff>
    </xdr:from>
    <xdr:to>
      <xdr:col>1</xdr:col>
      <xdr:colOff>5314469</xdr:colOff>
      <xdr:row>10</xdr:row>
      <xdr:rowOff>149421</xdr:rowOff>
    </xdr:to>
    <xdr:pic>
      <xdr:nvPicPr>
        <xdr:cNvPr id="4" name="Imagen 8">
          <a:extLst>
            <a:ext uri="{FF2B5EF4-FFF2-40B4-BE49-F238E27FC236}">
              <a16:creationId xmlns:a16="http://schemas.microsoft.com/office/drawing/2014/main" id="{DF208392-C73D-4928-9BE5-5F81490283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5549" y="350858"/>
          <a:ext cx="5432038" cy="1694038"/>
        </a:xfrm>
        <a:prstGeom prst="rect">
          <a:avLst/>
        </a:prstGeom>
      </xdr:spPr>
    </xdr:pic>
    <xdr:clientData/>
  </xdr:twoCellAnchor>
  <xdr:twoCellAnchor editAs="oneCell">
    <xdr:from>
      <xdr:col>11</xdr:col>
      <xdr:colOff>95250</xdr:colOff>
      <xdr:row>0</xdr:row>
      <xdr:rowOff>0</xdr:rowOff>
    </xdr:from>
    <xdr:to>
      <xdr:col>14</xdr:col>
      <xdr:colOff>586019</xdr:colOff>
      <xdr:row>13</xdr:row>
      <xdr:rowOff>189054</xdr:rowOff>
    </xdr:to>
    <xdr:pic>
      <xdr:nvPicPr>
        <xdr:cNvPr id="6" name="Picture 5">
          <a:extLst>
            <a:ext uri="{FF2B5EF4-FFF2-40B4-BE49-F238E27FC236}">
              <a16:creationId xmlns:a16="http://schemas.microsoft.com/office/drawing/2014/main" id="{7CC2A044-640F-AC11-2A12-7DB6FDD249B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709571" y="0"/>
          <a:ext cx="3674841" cy="2665554"/>
        </a:xfrm>
        <a:prstGeom prst="rect">
          <a:avLst/>
        </a:prstGeom>
      </xdr:spPr>
    </xdr:pic>
    <xdr:clientData/>
  </xdr:twoCellAnchor>
  <xdr:twoCellAnchor>
    <xdr:from>
      <xdr:col>11</xdr:col>
      <xdr:colOff>476250</xdr:colOff>
      <xdr:row>16</xdr:row>
      <xdr:rowOff>204107</xdr:rowOff>
    </xdr:from>
    <xdr:to>
      <xdr:col>26</xdr:col>
      <xdr:colOff>284079</xdr:colOff>
      <xdr:row>31</xdr:row>
      <xdr:rowOff>180646</xdr:rowOff>
    </xdr:to>
    <xdr:sp macro="" textlink="">
      <xdr:nvSpPr>
        <xdr:cNvPr id="5" name="Sed ut perspiciatis unde omnis iste natus error sit volup lor sit tatem accusantium doloremque. Sed ut perspiciatis unde omnis iste natus error sit volup lor sit tatem. Sed ut perspiciatis unde omnis iste natus error sit volup lor.">
          <a:extLst>
            <a:ext uri="{FF2B5EF4-FFF2-40B4-BE49-F238E27FC236}">
              <a16:creationId xmlns:a16="http://schemas.microsoft.com/office/drawing/2014/main" id="{DFC05DE5-DF7E-4B67-B2D1-9712262747A3}"/>
            </a:ext>
          </a:extLst>
        </xdr:cNvPr>
        <xdr:cNvSpPr/>
      </xdr:nvSpPr>
      <xdr:spPr>
        <a:xfrm>
          <a:off x="17090571" y="3252107"/>
          <a:ext cx="12584937" cy="3078968"/>
        </a:xfrm>
        <a:prstGeom prst="rect">
          <a:avLst/>
        </a:prstGeom>
        <a:ln w="12700">
          <a:miter lim="400000"/>
        </a:ln>
        <a:extLst>
          <a:ext uri="{C572A759-6A51-4108-AA02-DFA0A04FC94B}">
            <ma14:wrappingTextBoxFlag xmlns:lc="http://schemas.openxmlformats.org/drawingml/2006/lockedCanvas" xmlns:ma14="http://schemas.microsoft.com/office/mac/drawingml/2011/main" xmlns:mc="http://schemas.openxmlformats.org/markup-compatibility/2006" xmlns:p14="http://schemas.microsoft.com/office/powerpoint/2010/main" xmlns:a14="http://schemas.microsoft.com/office/drawing/2010/main" xmlns:a16="http://schemas.microsoft.com/office/drawing/2014/main" xmlns="" xmlns:p="http://schemas.openxmlformats.org/presentationml/2006/main" xmlns:r="http://schemas.openxmlformats.org/officeDocument/2006/relationships" val="1"/>
          </a:ext>
        </a:extLst>
      </xdr:spPr>
      <xdr:txBody>
        <a:bodyPr wrap="square" lIns="22352" tIns="22352" rIns="22352" bIns="22352">
          <a:spAutoFit/>
        </a:bodyPr>
        <a:lstStyle>
          <a:defPPr>
            <a:defRPr lang="en-US"/>
          </a:defPPr>
          <a:lvl1pPr marL="0" algn="just" defTabSz="536387" rtl="0" eaLnBrk="1" latinLnBrk="0" hangingPunct="1">
            <a:lnSpc>
              <a:spcPct val="120000"/>
            </a:lnSpc>
            <a:defRPr sz="2500" kern="1200" cap="none" spc="75">
              <a:solidFill>
                <a:schemeClr val="tx1"/>
              </a:solidFill>
              <a:latin typeface="Raleway Light"/>
              <a:ea typeface="Raleway Light"/>
              <a:cs typeface="Raleway Light"/>
              <a:sym typeface="Raleway Light"/>
            </a:defRPr>
          </a:lvl1pPr>
          <a:lvl2pPr marL="268194" algn="l" defTabSz="536387" rtl="0" eaLnBrk="1" latinLnBrk="0" hangingPunct="1">
            <a:defRPr sz="1056" kern="1200">
              <a:solidFill>
                <a:schemeClr val="tx1"/>
              </a:solidFill>
              <a:latin typeface="+mn-lt"/>
              <a:ea typeface="+mn-ea"/>
              <a:cs typeface="+mn-cs"/>
            </a:defRPr>
          </a:lvl2pPr>
          <a:lvl3pPr marL="536387" algn="l" defTabSz="536387" rtl="0" eaLnBrk="1" latinLnBrk="0" hangingPunct="1">
            <a:defRPr sz="1056" kern="1200">
              <a:solidFill>
                <a:schemeClr val="tx1"/>
              </a:solidFill>
              <a:latin typeface="+mn-lt"/>
              <a:ea typeface="+mn-ea"/>
              <a:cs typeface="+mn-cs"/>
            </a:defRPr>
          </a:lvl3pPr>
          <a:lvl4pPr marL="804581" algn="l" defTabSz="536387" rtl="0" eaLnBrk="1" latinLnBrk="0" hangingPunct="1">
            <a:defRPr sz="1056" kern="1200">
              <a:solidFill>
                <a:schemeClr val="tx1"/>
              </a:solidFill>
              <a:latin typeface="+mn-lt"/>
              <a:ea typeface="+mn-ea"/>
              <a:cs typeface="+mn-cs"/>
            </a:defRPr>
          </a:lvl4pPr>
          <a:lvl5pPr marL="1072774" algn="l" defTabSz="536387" rtl="0" eaLnBrk="1" latinLnBrk="0" hangingPunct="1">
            <a:defRPr sz="1056" kern="1200">
              <a:solidFill>
                <a:schemeClr val="tx1"/>
              </a:solidFill>
              <a:latin typeface="+mn-lt"/>
              <a:ea typeface="+mn-ea"/>
              <a:cs typeface="+mn-cs"/>
            </a:defRPr>
          </a:lvl5pPr>
          <a:lvl6pPr marL="1340968" algn="l" defTabSz="536387" rtl="0" eaLnBrk="1" latinLnBrk="0" hangingPunct="1">
            <a:defRPr sz="1056" kern="1200">
              <a:solidFill>
                <a:schemeClr val="tx1"/>
              </a:solidFill>
              <a:latin typeface="+mn-lt"/>
              <a:ea typeface="+mn-ea"/>
              <a:cs typeface="+mn-cs"/>
            </a:defRPr>
          </a:lvl6pPr>
          <a:lvl7pPr marL="1609161" algn="l" defTabSz="536387" rtl="0" eaLnBrk="1" latinLnBrk="0" hangingPunct="1">
            <a:defRPr sz="1056" kern="1200">
              <a:solidFill>
                <a:schemeClr val="tx1"/>
              </a:solidFill>
              <a:latin typeface="+mn-lt"/>
              <a:ea typeface="+mn-ea"/>
              <a:cs typeface="+mn-cs"/>
            </a:defRPr>
          </a:lvl7pPr>
          <a:lvl8pPr marL="1877355" algn="l" defTabSz="536387" rtl="0" eaLnBrk="1" latinLnBrk="0" hangingPunct="1">
            <a:defRPr sz="1056" kern="1200">
              <a:solidFill>
                <a:schemeClr val="tx1"/>
              </a:solidFill>
              <a:latin typeface="+mn-lt"/>
              <a:ea typeface="+mn-ea"/>
              <a:cs typeface="+mn-cs"/>
            </a:defRPr>
          </a:lvl8pPr>
          <a:lvl9pPr marL="2145548" algn="l" defTabSz="536387" rtl="0" eaLnBrk="1" latinLnBrk="0" hangingPunct="1">
            <a:defRPr sz="1056" kern="1200">
              <a:solidFill>
                <a:schemeClr val="tx1"/>
              </a:solidFill>
              <a:latin typeface="+mn-lt"/>
              <a:ea typeface="+mn-ea"/>
              <a:cs typeface="+mn-cs"/>
            </a:defRPr>
          </a:lvl9pPr>
        </a:lstStyle>
        <a:p>
          <a:pPr algn="just">
            <a:lnSpc>
              <a:spcPct val="107000"/>
            </a:lnSpc>
            <a:spcAft>
              <a:spcPts val="800"/>
            </a:spcAft>
          </a:pPr>
          <a:r>
            <a:rPr lang="en-GB" sz="1200" b="1">
              <a:solidFill>
                <a:srgbClr val="AB8D47"/>
              </a:solidFill>
              <a:latin typeface="Blinker" panose="020B0604020202020204" charset="0"/>
              <a:sym typeface="Raleway"/>
            </a:rPr>
            <a:t>Disclaimer: </a:t>
          </a:r>
          <a:r>
            <a:rPr lang="en-GB" sz="1200">
              <a:solidFill>
                <a:srgbClr val="AB8D47"/>
              </a:solidFill>
              <a:latin typeface="Blinker" panose="020B0604020202020204" charset="0"/>
            </a:rPr>
            <a:t>This document has been prepared by Tenvalue Platform, S.L. (hereinafter "Tenvalue").</a:t>
          </a:r>
        </a:p>
        <a:p>
          <a:pPr algn="just">
            <a:lnSpc>
              <a:spcPct val="107000"/>
            </a:lnSpc>
            <a:spcAft>
              <a:spcPts val="800"/>
            </a:spcAft>
          </a:pPr>
          <a:r>
            <a:rPr lang="en-GB" sz="1200">
              <a:solidFill>
                <a:srgbClr val="AB8D47"/>
              </a:solidFill>
              <a:latin typeface="Blinker" panose="020B0604020202020204" charset="0"/>
            </a:rPr>
            <a:t>In preparing this document, Tenvalue has relied on and assumed, without independent verification, the accuracy and completeness of all information available from public sources. Furthermore, nothing contained in this document is intended to be a valuation of the assets, shares, or businesses of the company or any other entity.</a:t>
          </a:r>
        </a:p>
        <a:p>
          <a:pPr algn="just">
            <a:lnSpc>
              <a:spcPct val="107000"/>
            </a:lnSpc>
            <a:spcAft>
              <a:spcPts val="800"/>
            </a:spcAft>
          </a:pPr>
          <a:r>
            <a:rPr lang="en-GB" sz="1200">
              <a:solidFill>
                <a:srgbClr val="AB8D47"/>
              </a:solidFill>
              <a:latin typeface="Blinker" panose="020B0604020202020204" charset="0"/>
            </a:rPr>
            <a:t>Tenvalue makes no representations regarding the actual value that may be received in connection with a transaction, nor the legal, tax, or accounting effects of consummating a transaction. Unless explicitly stated herein, the information contained in this document does not consider the effects of a potential transaction involving a change of actual or potential control, which may have significant valuation and other effects.</a:t>
          </a:r>
        </a:p>
        <a:p>
          <a:pPr algn="just">
            <a:lnSpc>
              <a:spcPct val="107000"/>
            </a:lnSpc>
            <a:spcAft>
              <a:spcPts val="800"/>
            </a:spcAft>
          </a:pPr>
          <a:r>
            <a:rPr lang="en-GB" sz="1200">
              <a:solidFill>
                <a:srgbClr val="AB8D47"/>
              </a:solidFill>
              <a:latin typeface="Blinker" panose="020B0604020202020204" charset="0"/>
            </a:rPr>
            <a:t>This document is intended solely to provide general information about the company and is not intended to form the basis of any investment decision to acquire part or all of the interests, shares, or stakes in the company. This document should not be construed as an offer or invitation to make an offer to acquire interests or shares of the company under any jurisdiction. Recipients of this document must ensure compliance with all relevant securities legislation and regulations that may apply to them. No representation or warranty (express or implied) is made, and the information contained in this document should not be relied upon, and no liability is accepted for any errors, omissions, or misstatements contained in this document. Accordingly, neither the company, its owners, Tenvalue, nor any of its directors or employees accept any liability arising from the use of this document.</a:t>
          </a:r>
        </a:p>
        <a:p>
          <a:pPr algn="just">
            <a:lnSpc>
              <a:spcPct val="107000"/>
            </a:lnSpc>
            <a:spcAft>
              <a:spcPts val="800"/>
            </a:spcAft>
          </a:pPr>
          <a:r>
            <a:rPr lang="en-GB" sz="1200">
              <a:solidFill>
                <a:srgbClr val="AB8D47"/>
              </a:solidFill>
              <a:latin typeface="Blinker" panose="020B0604020202020204" charset="0"/>
            </a:rPr>
            <a:t>By accepting this document, you agree to be bound by the above conditions and limitations.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336177</xdr:colOff>
      <xdr:row>122</xdr:row>
      <xdr:rowOff>134471</xdr:rowOff>
    </xdr:from>
    <xdr:to>
      <xdr:col>24</xdr:col>
      <xdr:colOff>168088</xdr:colOff>
      <xdr:row>129</xdr:row>
      <xdr:rowOff>100853</xdr:rowOff>
    </xdr:to>
    <xdr:sp macro="" textlink="">
      <xdr:nvSpPr>
        <xdr:cNvPr id="12" name="Rectangle 11">
          <a:extLst>
            <a:ext uri="{FF2B5EF4-FFF2-40B4-BE49-F238E27FC236}">
              <a16:creationId xmlns:a16="http://schemas.microsoft.com/office/drawing/2014/main" id="{CE338F88-BD8D-B2CA-6135-8442755EC931}"/>
            </a:ext>
          </a:extLst>
        </xdr:cNvPr>
        <xdr:cNvSpPr/>
      </xdr:nvSpPr>
      <xdr:spPr>
        <a:xfrm>
          <a:off x="22041971" y="23465118"/>
          <a:ext cx="2700617" cy="1299882"/>
        </a:xfrm>
        <a:prstGeom prst="rect">
          <a:avLst/>
        </a:prstGeom>
        <a:solidFill>
          <a:schemeClr val="dk1">
            <a:alpha val="31000"/>
          </a:schemeClr>
        </a:solidFill>
        <a:ln>
          <a:no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492126</xdr:colOff>
      <xdr:row>2</xdr:row>
      <xdr:rowOff>71438</xdr:rowOff>
    </xdr:from>
    <xdr:to>
      <xdr:col>3</xdr:col>
      <xdr:colOff>741883</xdr:colOff>
      <xdr:row>11</xdr:row>
      <xdr:rowOff>40770</xdr:rowOff>
    </xdr:to>
    <xdr:pic>
      <xdr:nvPicPr>
        <xdr:cNvPr id="4" name="Imagen 12">
          <a:extLst>
            <a:ext uri="{FF2B5EF4-FFF2-40B4-BE49-F238E27FC236}">
              <a16:creationId xmlns:a16="http://schemas.microsoft.com/office/drawing/2014/main" id="{D610D24A-0F13-43BC-9B1B-831AC2367D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126" y="452438"/>
          <a:ext cx="5440882" cy="1683832"/>
        </a:xfrm>
        <a:prstGeom prst="rect">
          <a:avLst/>
        </a:prstGeom>
      </xdr:spPr>
    </xdr:pic>
    <xdr:clientData/>
  </xdr:twoCellAnchor>
  <xdr:twoCellAnchor editAs="oneCell">
    <xdr:from>
      <xdr:col>11</xdr:col>
      <xdr:colOff>173182</xdr:colOff>
      <xdr:row>0</xdr:row>
      <xdr:rowOff>0</xdr:rowOff>
    </xdr:from>
    <xdr:to>
      <xdr:col>14</xdr:col>
      <xdr:colOff>388003</xdr:colOff>
      <xdr:row>13</xdr:row>
      <xdr:rowOff>189054</xdr:rowOff>
    </xdr:to>
    <xdr:pic>
      <xdr:nvPicPr>
        <xdr:cNvPr id="2" name="Picture 1">
          <a:extLst>
            <a:ext uri="{FF2B5EF4-FFF2-40B4-BE49-F238E27FC236}">
              <a16:creationId xmlns:a16="http://schemas.microsoft.com/office/drawing/2014/main" id="{FF8E4057-E950-457D-95D9-00EA1838A4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231591" y="0"/>
          <a:ext cx="3674841" cy="2665554"/>
        </a:xfrm>
        <a:prstGeom prst="rect">
          <a:avLst/>
        </a:prstGeom>
      </xdr:spPr>
    </xdr:pic>
    <xdr:clientData/>
  </xdr:twoCellAnchor>
  <xdr:twoCellAnchor editAs="oneCell">
    <xdr:from>
      <xdr:col>19</xdr:col>
      <xdr:colOff>188522</xdr:colOff>
      <xdr:row>64</xdr:row>
      <xdr:rowOff>36674</xdr:rowOff>
    </xdr:from>
    <xdr:to>
      <xdr:col>24</xdr:col>
      <xdr:colOff>513203</xdr:colOff>
      <xdr:row>67</xdr:row>
      <xdr:rowOff>112874</xdr:rowOff>
    </xdr:to>
    <xdr:pic>
      <xdr:nvPicPr>
        <xdr:cNvPr id="5" name="Picture 4">
          <a:extLst>
            <a:ext uri="{FF2B5EF4-FFF2-40B4-BE49-F238E27FC236}">
              <a16:creationId xmlns:a16="http://schemas.microsoft.com/office/drawing/2014/main" id="{25033239-B52C-5F89-0EBB-93D36609D91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456236" y="11371424"/>
          <a:ext cx="3936176" cy="647700"/>
        </a:xfrm>
        <a:prstGeom prst="rect">
          <a:avLst/>
        </a:prstGeom>
      </xdr:spPr>
    </xdr:pic>
    <xdr:clientData/>
  </xdr:twoCellAnchor>
  <xdr:oneCellAnchor>
    <xdr:from>
      <xdr:col>17</xdr:col>
      <xdr:colOff>197244</xdr:colOff>
      <xdr:row>68</xdr:row>
      <xdr:rowOff>0</xdr:rowOff>
    </xdr:from>
    <xdr:ext cx="8735661" cy="423577"/>
    <xdr:sp macro="" textlink="">
      <xdr:nvSpPr>
        <xdr:cNvPr id="6" name="TextBox 5">
          <a:extLst>
            <a:ext uri="{FF2B5EF4-FFF2-40B4-BE49-F238E27FC236}">
              <a16:creationId xmlns:a16="http://schemas.microsoft.com/office/drawing/2014/main" id="{368AC912-CFBC-6A69-5784-E24B988AD203}"/>
            </a:ext>
          </a:extLst>
        </xdr:cNvPr>
        <xdr:cNvSpPr txBox="1"/>
      </xdr:nvSpPr>
      <xdr:spPr>
        <a:xfrm>
          <a:off x="17056494" y="12096750"/>
          <a:ext cx="8735661" cy="423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kern="1200">
              <a:latin typeface="Raleway" panose="020B0503030101060003" pitchFamily="34" charset="0"/>
            </a:rPr>
            <a:t>Antofagasta</a:t>
          </a:r>
          <a:r>
            <a:rPr lang="en-US" sz="1100" kern="1200" baseline="0">
              <a:latin typeface="Raleway" panose="020B0503030101060003" pitchFamily="34" charset="0"/>
            </a:rPr>
            <a:t> is an international mining company based in Chile, focused on copper and its by-products (gold, molybdenum &amp; silver) </a:t>
          </a:r>
          <a:br>
            <a:rPr lang="en-US" sz="1100" kern="1200" baseline="0">
              <a:latin typeface="Raleway" panose="020B0503030101060003" pitchFamily="34" charset="0"/>
            </a:rPr>
          </a:br>
          <a:r>
            <a:rPr lang="en-US" sz="1100" kern="1200" baseline="0">
              <a:latin typeface="Raleway" panose="020B0503030101060003" pitchFamily="34" charset="0"/>
            </a:rPr>
            <a:t>and listed on the LSE (London, UK).</a:t>
          </a:r>
          <a:endParaRPr lang="en-US" sz="1100" kern="1200">
            <a:latin typeface="Raleway" panose="020B0503030101060003" pitchFamily="34" charset="0"/>
          </a:endParaRPr>
        </a:p>
      </xdr:txBody>
    </xdr:sp>
    <xdr:clientData/>
  </xdr:oneCellAnchor>
  <xdr:oneCellAnchor>
    <xdr:from>
      <xdr:col>17</xdr:col>
      <xdr:colOff>265179</xdr:colOff>
      <xdr:row>90</xdr:row>
      <xdr:rowOff>100853</xdr:rowOff>
    </xdr:from>
    <xdr:ext cx="8599790" cy="423577"/>
    <xdr:sp macro="" textlink="">
      <xdr:nvSpPr>
        <xdr:cNvPr id="7" name="TextBox 6">
          <a:extLst>
            <a:ext uri="{FF2B5EF4-FFF2-40B4-BE49-F238E27FC236}">
              <a16:creationId xmlns:a16="http://schemas.microsoft.com/office/drawing/2014/main" id="{D93100D1-F632-4D1F-A660-B83B1F7B28E9}"/>
            </a:ext>
          </a:extLst>
        </xdr:cNvPr>
        <xdr:cNvSpPr txBox="1"/>
      </xdr:nvSpPr>
      <xdr:spPr>
        <a:xfrm>
          <a:off x="17124429" y="16960103"/>
          <a:ext cx="8599790" cy="423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kern="1200">
              <a:latin typeface="Raleway" panose="020B0503030101060003" pitchFamily="34" charset="0"/>
            </a:rPr>
            <a:t>Headquartered in Vancouver, British Columbia (BC), Canada, Taseko Mines Limited (Taseko) is a North American mining company</a:t>
          </a:r>
          <a:br>
            <a:rPr lang="en-US" sz="1100" kern="1200">
              <a:latin typeface="Raleway" panose="020B0503030101060003" pitchFamily="34" charset="0"/>
            </a:rPr>
          </a:br>
          <a:r>
            <a:rPr lang="en-US" sz="1100" kern="1200" baseline="0">
              <a:latin typeface="Raleway" panose="020B0503030101060003" pitchFamily="34" charset="0"/>
            </a:rPr>
            <a:t>focused on copper and its by-products (molybdenum &amp; silver).</a:t>
          </a:r>
          <a:endParaRPr lang="en-US" sz="1100" kern="1200">
            <a:latin typeface="Raleway" panose="020B0503030101060003" pitchFamily="34" charset="0"/>
          </a:endParaRPr>
        </a:p>
      </xdr:txBody>
    </xdr:sp>
    <xdr:clientData/>
  </xdr:oneCellAnchor>
  <xdr:twoCellAnchor editAs="oneCell">
    <xdr:from>
      <xdr:col>19</xdr:col>
      <xdr:colOff>836717</xdr:colOff>
      <xdr:row>85</xdr:row>
      <xdr:rowOff>136070</xdr:rowOff>
    </xdr:from>
    <xdr:to>
      <xdr:col>23</xdr:col>
      <xdr:colOff>462360</xdr:colOff>
      <xdr:row>88</xdr:row>
      <xdr:rowOff>162921</xdr:rowOff>
    </xdr:to>
    <xdr:pic>
      <xdr:nvPicPr>
        <xdr:cNvPr id="9" name="Graphic 8">
          <a:extLst>
            <a:ext uri="{FF2B5EF4-FFF2-40B4-BE49-F238E27FC236}">
              <a16:creationId xmlns:a16="http://schemas.microsoft.com/office/drawing/2014/main" id="{97BD4705-E34D-C061-A6A2-DD5601FB4C1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0104431" y="16042820"/>
          <a:ext cx="2639786" cy="598351"/>
        </a:xfrm>
        <a:prstGeom prst="rect">
          <a:avLst/>
        </a:prstGeom>
      </xdr:spPr>
    </xdr:pic>
    <xdr:clientData/>
  </xdr:twoCellAnchor>
  <xdr:oneCellAnchor>
    <xdr:from>
      <xdr:col>16</xdr:col>
      <xdr:colOff>75569</xdr:colOff>
      <xdr:row>110</xdr:row>
      <xdr:rowOff>184897</xdr:rowOff>
    </xdr:from>
    <xdr:ext cx="11314636" cy="423577"/>
    <xdr:sp macro="" textlink="">
      <xdr:nvSpPr>
        <xdr:cNvPr id="10" name="TextBox 9">
          <a:extLst>
            <a:ext uri="{FF2B5EF4-FFF2-40B4-BE49-F238E27FC236}">
              <a16:creationId xmlns:a16="http://schemas.microsoft.com/office/drawing/2014/main" id="{67C65AD4-BB29-47AF-9B0A-4C325EAAA801}"/>
            </a:ext>
          </a:extLst>
        </xdr:cNvPr>
        <xdr:cNvSpPr txBox="1"/>
      </xdr:nvSpPr>
      <xdr:spPr>
        <a:xfrm>
          <a:off x="18173069" y="21050250"/>
          <a:ext cx="11314636" cy="423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kern="1200">
              <a:latin typeface="Raleway" panose="020B0503030101060003" pitchFamily="34" charset="0"/>
            </a:rPr>
            <a:t>SCC is one of</a:t>
          </a:r>
          <a:r>
            <a:rPr lang="en-US" sz="1100" kern="1200" baseline="0">
              <a:latin typeface="Raleway" panose="020B0503030101060003" pitchFamily="34" charset="0"/>
            </a:rPr>
            <a:t> the biggest copper and by-product (molybdenum, zinc and silver) producers. All of their mining, smelting and refining facilities are located in Peru and Mexico</a:t>
          </a:r>
        </a:p>
        <a:p>
          <a:pPr algn="ctr"/>
          <a:r>
            <a:rPr lang="en-US" sz="1100" kern="1200" baseline="0">
              <a:latin typeface="Raleway" panose="020B0503030101060003" pitchFamily="34" charset="0"/>
            </a:rPr>
            <a:t>and it conducts exploration activities in those countries and in Argentina, Chile and Ecuador.</a:t>
          </a:r>
          <a:endParaRPr lang="en-US" sz="1100" kern="1200">
            <a:latin typeface="Raleway" panose="020B0503030101060003" pitchFamily="34" charset="0"/>
          </a:endParaRPr>
        </a:p>
      </xdr:txBody>
    </xdr:sp>
    <xdr:clientData/>
  </xdr:oneCellAnchor>
  <xdr:twoCellAnchor editAs="oneCell">
    <xdr:from>
      <xdr:col>19</xdr:col>
      <xdr:colOff>132347</xdr:colOff>
      <xdr:row>107</xdr:row>
      <xdr:rowOff>156883</xdr:rowOff>
    </xdr:from>
    <xdr:to>
      <xdr:col>24</xdr:col>
      <xdr:colOff>569377</xdr:colOff>
      <xdr:row>109</xdr:row>
      <xdr:rowOff>101361</xdr:rowOff>
    </xdr:to>
    <xdr:pic>
      <xdr:nvPicPr>
        <xdr:cNvPr id="13" name="Picture 12">
          <a:extLst>
            <a:ext uri="{FF2B5EF4-FFF2-40B4-BE49-F238E27FC236}">
              <a16:creationId xmlns:a16="http://schemas.microsoft.com/office/drawing/2014/main" id="{B120CC20-C253-5926-F5BF-49A866E1225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400061" y="20445133"/>
          <a:ext cx="4048526" cy="325478"/>
        </a:xfrm>
        <a:prstGeom prst="rect">
          <a:avLst/>
        </a:prstGeom>
      </xdr:spPr>
    </xdr:pic>
    <xdr:clientData/>
  </xdr:twoCellAnchor>
  <xdr:oneCellAnchor>
    <xdr:from>
      <xdr:col>18</xdr:col>
      <xdr:colOff>422720</xdr:colOff>
      <xdr:row>130</xdr:row>
      <xdr:rowOff>23533</xdr:rowOff>
    </xdr:from>
    <xdr:ext cx="5635966" cy="257956"/>
    <xdr:sp macro="" textlink="">
      <xdr:nvSpPr>
        <xdr:cNvPr id="3" name="TextBox 2">
          <a:extLst>
            <a:ext uri="{FF2B5EF4-FFF2-40B4-BE49-F238E27FC236}">
              <a16:creationId xmlns:a16="http://schemas.microsoft.com/office/drawing/2014/main" id="{DCF2FB87-25B3-4F1D-8F0C-D64A14C73CF8}"/>
            </a:ext>
          </a:extLst>
        </xdr:cNvPr>
        <xdr:cNvSpPr txBox="1"/>
      </xdr:nvSpPr>
      <xdr:spPr>
        <a:xfrm>
          <a:off x="20694161" y="24878180"/>
          <a:ext cx="5635966" cy="2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kern="1200">
              <a:latin typeface="Raleway" panose="020B0503030101060003" pitchFamily="34" charset="0"/>
            </a:rPr>
            <a:t>Capstone</a:t>
          </a:r>
          <a:r>
            <a:rPr lang="en-US" sz="1100" kern="1200" baseline="0">
              <a:latin typeface="Raleway" panose="020B0503030101060003" pitchFamily="34" charset="0"/>
            </a:rPr>
            <a:t> is a copper and by-product producer with operations in the US and Chile. </a:t>
          </a:r>
          <a:endParaRPr lang="en-US" sz="1100" kern="1200">
            <a:latin typeface="Raleway" panose="020B0503030101060003" pitchFamily="34" charset="0"/>
          </a:endParaRPr>
        </a:p>
      </xdr:txBody>
    </xdr:sp>
    <xdr:clientData/>
  </xdr:oneCellAnchor>
  <xdr:twoCellAnchor editAs="oneCell">
    <xdr:from>
      <xdr:col>21</xdr:col>
      <xdr:colOff>0</xdr:colOff>
      <xdr:row>124</xdr:row>
      <xdr:rowOff>11206</xdr:rowOff>
    </xdr:from>
    <xdr:to>
      <xdr:col>23</xdr:col>
      <xdr:colOff>470647</xdr:colOff>
      <xdr:row>128</xdr:row>
      <xdr:rowOff>96931</xdr:rowOff>
    </xdr:to>
    <xdr:pic>
      <xdr:nvPicPr>
        <xdr:cNvPr id="11" name="Graphic 10">
          <a:extLst>
            <a:ext uri="{FF2B5EF4-FFF2-40B4-BE49-F238E27FC236}">
              <a16:creationId xmlns:a16="http://schemas.microsoft.com/office/drawing/2014/main" id="{E84B78D6-D635-5993-0EFD-53402A8546F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2422971" y="23722853"/>
          <a:ext cx="1905000"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217714</xdr:colOff>
      <xdr:row>2</xdr:row>
      <xdr:rowOff>0</xdr:rowOff>
    </xdr:from>
    <xdr:to>
      <xdr:col>3</xdr:col>
      <xdr:colOff>2477927</xdr:colOff>
      <xdr:row>10</xdr:row>
      <xdr:rowOff>170038</xdr:rowOff>
    </xdr:to>
    <xdr:pic>
      <xdr:nvPicPr>
        <xdr:cNvPr id="4" name="Imagen 8">
          <a:extLst>
            <a:ext uri="{FF2B5EF4-FFF2-40B4-BE49-F238E27FC236}">
              <a16:creationId xmlns:a16="http://schemas.microsoft.com/office/drawing/2014/main" id="{8F465A38-5C80-427A-B3E7-E88CD4F2E7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8893" y="381000"/>
          <a:ext cx="5430677" cy="1694038"/>
        </a:xfrm>
        <a:prstGeom prst="rect">
          <a:avLst/>
        </a:prstGeom>
      </xdr:spPr>
    </xdr:pic>
    <xdr:clientData/>
  </xdr:twoCellAnchor>
  <xdr:twoCellAnchor editAs="oneCell">
    <xdr:from>
      <xdr:col>9</xdr:col>
      <xdr:colOff>693964</xdr:colOff>
      <xdr:row>0</xdr:row>
      <xdr:rowOff>0</xdr:rowOff>
    </xdr:from>
    <xdr:to>
      <xdr:col>11</xdr:col>
      <xdr:colOff>1416055</xdr:colOff>
      <xdr:row>13</xdr:row>
      <xdr:rowOff>189054</xdr:rowOff>
    </xdr:to>
    <xdr:pic>
      <xdr:nvPicPr>
        <xdr:cNvPr id="2" name="Picture 1">
          <a:extLst>
            <a:ext uri="{FF2B5EF4-FFF2-40B4-BE49-F238E27FC236}">
              <a16:creationId xmlns:a16="http://schemas.microsoft.com/office/drawing/2014/main" id="{44894B06-6FF4-40AF-B7A3-60E8FBD51F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35500" y="0"/>
          <a:ext cx="3674841" cy="2665554"/>
        </a:xfrm>
        <a:prstGeom prst="rect">
          <a:avLst/>
        </a:prstGeom>
      </xdr:spPr>
    </xdr:pic>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talayamining.com/investors/financial-result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southerncoppercorp.com/eng/sec-filings/" TargetMode="External"/><Relationship Id="rId7" Type="http://schemas.openxmlformats.org/officeDocument/2006/relationships/vmlDrawing" Target="../drawings/vmlDrawing2.vml"/><Relationship Id="rId2" Type="http://schemas.openxmlformats.org/officeDocument/2006/relationships/hyperlink" Target="https://www.tasekomines.com/investors/documents-and-reports/form-f40/" TargetMode="External"/><Relationship Id="rId1" Type="http://schemas.openxmlformats.org/officeDocument/2006/relationships/hyperlink" Target="https://www.antofagasta.co.uk/investors/annual-report-2025/"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apstonecopper.com/investors/reports-and-filing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D05E6-F5F3-4155-859D-45C11E40BE05}">
  <dimension ref="B14:Q275"/>
  <sheetViews>
    <sheetView tabSelected="1" zoomScale="70" zoomScaleNormal="70" workbookViewId="0">
      <selection activeCell="N35" sqref="N35"/>
    </sheetView>
  </sheetViews>
  <sheetFormatPr defaultColWidth="10.7109375" defaultRowHeight="15" x14ac:dyDescent="0.25"/>
  <cols>
    <col min="1" max="1" width="10.7109375" style="1"/>
    <col min="2" max="2" width="95.140625" style="1" customWidth="1"/>
    <col min="3" max="15" width="16" style="1" customWidth="1"/>
    <col min="16" max="16" width="10.7109375" style="1" customWidth="1"/>
    <col min="17" max="20" width="12.7109375" style="1" bestFit="1" customWidth="1"/>
    <col min="21" max="21" width="12.42578125" style="1" bestFit="1" customWidth="1"/>
    <col min="22" max="16384" width="10.7109375" style="1"/>
  </cols>
  <sheetData>
    <row r="14" s="3" customFormat="1" x14ac:dyDescent="0.25"/>
    <row r="17" spans="2:11" ht="30" x14ac:dyDescent="0.4">
      <c r="B17" s="24" t="s">
        <v>95</v>
      </c>
    </row>
    <row r="22" spans="2:11" ht="15.75" thickBot="1" x14ac:dyDescent="0.3"/>
    <row r="23" spans="2:11" ht="15.75" thickTop="1" x14ac:dyDescent="0.25">
      <c r="C23" s="8"/>
      <c r="D23" s="9"/>
      <c r="E23" s="9"/>
      <c r="F23" s="9"/>
      <c r="G23" s="9"/>
      <c r="H23" s="9"/>
      <c r="I23" s="9"/>
      <c r="J23" s="9"/>
      <c r="K23" s="10"/>
    </row>
    <row r="24" spans="2:11" x14ac:dyDescent="0.25">
      <c r="C24" s="11"/>
      <c r="D24" s="76"/>
      <c r="E24" s="4" t="s">
        <v>61</v>
      </c>
      <c r="K24" s="12"/>
    </row>
    <row r="25" spans="2:11" x14ac:dyDescent="0.25">
      <c r="C25" s="11"/>
      <c r="K25" s="12"/>
    </row>
    <row r="26" spans="2:11" x14ac:dyDescent="0.25">
      <c r="C26" s="11"/>
      <c r="D26" s="7"/>
      <c r="E26" s="4" t="s">
        <v>62</v>
      </c>
      <c r="K26" s="12"/>
    </row>
    <row r="27" spans="2:11" x14ac:dyDescent="0.25">
      <c r="C27" s="11"/>
      <c r="K27" s="12"/>
    </row>
    <row r="28" spans="2:11" x14ac:dyDescent="0.25">
      <c r="C28" s="11"/>
      <c r="D28" s="77"/>
      <c r="E28" s="1" t="s">
        <v>240</v>
      </c>
      <c r="K28" s="12"/>
    </row>
    <row r="29" spans="2:11" ht="15.75" thickBot="1" x14ac:dyDescent="0.3">
      <c r="C29" s="13"/>
      <c r="D29" s="14"/>
      <c r="E29" s="14"/>
      <c r="F29" s="14"/>
      <c r="G29" s="14"/>
      <c r="H29" s="14"/>
      <c r="I29" s="14"/>
      <c r="J29" s="14"/>
      <c r="K29" s="15"/>
    </row>
    <row r="30" spans="2:11" ht="15.75" thickTop="1" x14ac:dyDescent="0.25"/>
    <row r="34" spans="2:15" ht="22.5" x14ac:dyDescent="0.3">
      <c r="B34" s="23" t="s">
        <v>91</v>
      </c>
      <c r="M34" s="177" t="s">
        <v>250</v>
      </c>
      <c r="N34" s="176" t="s">
        <v>269</v>
      </c>
    </row>
    <row r="35" spans="2:15" x14ac:dyDescent="0.25">
      <c r="L35" s="45"/>
      <c r="M35" s="45"/>
      <c r="N35" s="45"/>
    </row>
    <row r="36" spans="2:15" ht="22.5" x14ac:dyDescent="0.3">
      <c r="B36" s="17" t="s">
        <v>102</v>
      </c>
      <c r="C36" s="6">
        <v>2014</v>
      </c>
      <c r="D36" s="6">
        <v>2015</v>
      </c>
      <c r="E36" s="6">
        <v>2016</v>
      </c>
      <c r="F36" s="6">
        <v>2017</v>
      </c>
      <c r="G36" s="6">
        <v>2018</v>
      </c>
      <c r="H36" s="6">
        <v>2019</v>
      </c>
      <c r="I36" s="6">
        <v>2020</v>
      </c>
      <c r="J36" s="6">
        <v>2021</v>
      </c>
      <c r="K36" s="6">
        <v>2022</v>
      </c>
      <c r="L36" s="6">
        <v>2023</v>
      </c>
      <c r="M36" s="6">
        <v>2024</v>
      </c>
      <c r="N36" s="6">
        <v>2025</v>
      </c>
      <c r="O36" s="5" t="s">
        <v>240</v>
      </c>
    </row>
    <row r="37" spans="2:15" x14ac:dyDescent="0.25">
      <c r="B37" s="37" t="s">
        <v>103</v>
      </c>
      <c r="C37" s="87"/>
      <c r="D37" s="87"/>
      <c r="E37" s="87">
        <v>7754499</v>
      </c>
      <c r="F37" s="87">
        <v>9340028</v>
      </c>
      <c r="G37" s="87">
        <v>10753598</v>
      </c>
      <c r="H37" s="87">
        <v>10366903</v>
      </c>
      <c r="I37" s="87">
        <v>13604801</v>
      </c>
      <c r="J37" s="87">
        <v>13535470</v>
      </c>
      <c r="K37" s="87">
        <v>14884361</v>
      </c>
      <c r="L37" s="87">
        <v>14944638</v>
      </c>
      <c r="M37" s="87">
        <v>15176009</v>
      </c>
      <c r="N37" s="87">
        <v>14820168</v>
      </c>
      <c r="O37" s="172" t="s">
        <v>241</v>
      </c>
    </row>
    <row r="38" spans="2:15" x14ac:dyDescent="0.25">
      <c r="B38" s="37" t="s">
        <v>104</v>
      </c>
      <c r="C38" s="121"/>
      <c r="D38" s="121"/>
      <c r="E38" s="121">
        <v>6505762</v>
      </c>
      <c r="F38" s="121">
        <v>8796715</v>
      </c>
      <c r="G38" s="87">
        <v>9819839</v>
      </c>
      <c r="H38" s="87">
        <v>10453116</v>
      </c>
      <c r="I38" s="87">
        <v>14833916</v>
      </c>
      <c r="J38" s="87">
        <v>15822610</v>
      </c>
      <c r="K38" s="87">
        <v>15410459</v>
      </c>
      <c r="L38" s="87">
        <v>15790098</v>
      </c>
      <c r="M38" s="87">
        <v>15913064</v>
      </c>
      <c r="N38" s="87">
        <v>16630699</v>
      </c>
      <c r="O38" s="172" t="s">
        <v>241</v>
      </c>
    </row>
    <row r="39" spans="2:15" x14ac:dyDescent="0.25">
      <c r="B39" s="37" t="s">
        <v>105</v>
      </c>
      <c r="C39" s="121"/>
      <c r="D39" s="121"/>
      <c r="E39" s="98">
        <v>1.95</v>
      </c>
      <c r="F39" s="98">
        <v>1.91</v>
      </c>
      <c r="G39" s="58">
        <v>1.94</v>
      </c>
      <c r="H39" s="58">
        <v>1.8</v>
      </c>
      <c r="I39" s="58">
        <v>1.95</v>
      </c>
      <c r="J39" s="58">
        <v>2.1800000000000002</v>
      </c>
      <c r="K39" s="58">
        <v>3.16</v>
      </c>
      <c r="L39" s="58">
        <v>2.79</v>
      </c>
      <c r="M39" s="58">
        <v>2.92</v>
      </c>
      <c r="N39" s="58">
        <v>2.4</v>
      </c>
      <c r="O39" s="172" t="s">
        <v>242</v>
      </c>
    </row>
    <row r="40" spans="2:15" x14ac:dyDescent="0.25">
      <c r="B40" s="37" t="s">
        <v>106</v>
      </c>
      <c r="C40" s="121"/>
      <c r="D40" s="121"/>
      <c r="E40" s="122" t="s">
        <v>191</v>
      </c>
      <c r="F40" s="98">
        <v>2.2999999999999998</v>
      </c>
      <c r="G40" s="58">
        <v>2.2599999999999998</v>
      </c>
      <c r="H40" s="58">
        <v>2.14</v>
      </c>
      <c r="I40" s="58">
        <v>2.21</v>
      </c>
      <c r="J40" s="58">
        <v>2.48</v>
      </c>
      <c r="K40" s="58">
        <v>3.37</v>
      </c>
      <c r="L40" s="58">
        <v>3.09</v>
      </c>
      <c r="M40" s="58">
        <v>3.26</v>
      </c>
      <c r="N40" s="58">
        <v>2.9</v>
      </c>
      <c r="O40" s="172" t="s">
        <v>243</v>
      </c>
    </row>
    <row r="41" spans="2:15" x14ac:dyDescent="0.25">
      <c r="B41" s="37" t="s">
        <v>107</v>
      </c>
      <c r="C41" s="87"/>
      <c r="D41" s="87"/>
      <c r="E41" s="58">
        <v>2.25</v>
      </c>
      <c r="F41" s="58">
        <v>2.66</v>
      </c>
      <c r="G41" s="58">
        <v>2.95</v>
      </c>
      <c r="H41" s="58">
        <v>2.73</v>
      </c>
      <c r="I41" s="58">
        <v>2.78</v>
      </c>
      <c r="J41" s="58">
        <v>4.22</v>
      </c>
      <c r="K41" s="58">
        <v>3.96</v>
      </c>
      <c r="L41" s="58">
        <v>3.8</v>
      </c>
      <c r="M41" s="58">
        <v>4.1900000000000004</v>
      </c>
      <c r="N41" s="58">
        <v>4.49</v>
      </c>
      <c r="O41" s="173"/>
    </row>
    <row r="42" spans="2:15" x14ac:dyDescent="0.25">
      <c r="B42" s="37" t="s">
        <v>108</v>
      </c>
      <c r="C42" s="87"/>
      <c r="D42" s="87"/>
      <c r="E42" s="87">
        <v>122468</v>
      </c>
      <c r="F42" s="87">
        <v>165965</v>
      </c>
      <c r="G42" s="87">
        <v>180661</v>
      </c>
      <c r="H42" s="87">
        <v>195072</v>
      </c>
      <c r="I42" s="87">
        <v>256001</v>
      </c>
      <c r="J42" s="87">
        <v>270713</v>
      </c>
      <c r="K42" s="87">
        <v>249543</v>
      </c>
      <c r="L42" s="87">
        <v>249321</v>
      </c>
      <c r="M42" s="87">
        <v>252165</v>
      </c>
      <c r="N42" s="87">
        <v>298108</v>
      </c>
      <c r="O42" s="173"/>
    </row>
    <row r="43" spans="2:15" x14ac:dyDescent="0.25">
      <c r="B43" s="37" t="s">
        <v>109</v>
      </c>
      <c r="C43" s="87"/>
      <c r="D43" s="87"/>
      <c r="E43" s="87">
        <v>26179</v>
      </c>
      <c r="F43" s="87">
        <v>37164</v>
      </c>
      <c r="G43" s="87">
        <v>42114</v>
      </c>
      <c r="H43" s="87">
        <v>44950</v>
      </c>
      <c r="I43" s="87">
        <v>55890</v>
      </c>
      <c r="J43" s="87">
        <v>56097</v>
      </c>
      <c r="K43" s="87">
        <v>52269</v>
      </c>
      <c r="L43" s="87">
        <v>51667</v>
      </c>
      <c r="M43" s="87">
        <v>46227</v>
      </c>
      <c r="N43" s="87">
        <v>51139</v>
      </c>
      <c r="O43" s="172" t="s">
        <v>244</v>
      </c>
    </row>
    <row r="44" spans="2:15" x14ac:dyDescent="0.25">
      <c r="B44" s="37" t="s">
        <v>110</v>
      </c>
      <c r="C44" s="87"/>
      <c r="D44" s="87"/>
      <c r="E44" s="87">
        <v>25353</v>
      </c>
      <c r="F44" s="87">
        <v>35504</v>
      </c>
      <c r="G44" s="87">
        <v>40306</v>
      </c>
      <c r="H44" s="87">
        <v>42935</v>
      </c>
      <c r="I44" s="87">
        <v>53330</v>
      </c>
      <c r="J44" s="87">
        <v>53390</v>
      </c>
      <c r="K44" s="87">
        <v>49773</v>
      </c>
      <c r="L44" s="87">
        <v>49174</v>
      </c>
      <c r="M44" s="87">
        <v>43706</v>
      </c>
      <c r="N44" s="87">
        <v>48158</v>
      </c>
      <c r="O44" s="173"/>
    </row>
    <row r="45" spans="2:15" x14ac:dyDescent="0.25">
      <c r="B45" s="4"/>
      <c r="C45" s="30"/>
      <c r="D45" s="30"/>
      <c r="E45" s="30"/>
      <c r="F45" s="30"/>
      <c r="G45" s="30"/>
      <c r="H45" s="30"/>
      <c r="I45" s="49"/>
      <c r="J45" s="49"/>
      <c r="K45" s="49"/>
    </row>
    <row r="46" spans="2:15" s="3" customFormat="1" x14ac:dyDescent="0.25"/>
    <row r="47" spans="2:15" x14ac:dyDescent="0.25">
      <c r="F47" s="30"/>
      <c r="G47" s="66"/>
    </row>
    <row r="48" spans="2:15" ht="30" x14ac:dyDescent="0.4">
      <c r="B48" s="24" t="s">
        <v>96</v>
      </c>
      <c r="C48" s="24"/>
      <c r="D48" s="24"/>
      <c r="E48" s="24"/>
      <c r="F48" s="64"/>
      <c r="G48" s="64"/>
      <c r="H48" s="64"/>
      <c r="I48" s="31"/>
      <c r="J48" s="31"/>
      <c r="K48" s="64"/>
      <c r="L48" s="64"/>
      <c r="M48" s="64"/>
      <c r="N48" s="64"/>
      <c r="O48" s="35"/>
    </row>
    <row r="49" spans="2:15" x14ac:dyDescent="0.25">
      <c r="F49" s="74"/>
      <c r="G49" s="74"/>
      <c r="H49" s="74"/>
      <c r="L49" s="64"/>
      <c r="M49" s="64"/>
      <c r="N49" s="64"/>
    </row>
    <row r="50" spans="2:15" ht="22.5" x14ac:dyDescent="0.3">
      <c r="B50" s="17" t="s">
        <v>44</v>
      </c>
      <c r="C50" s="6">
        <v>2014</v>
      </c>
      <c r="D50" s="6">
        <v>2015</v>
      </c>
      <c r="E50" s="6">
        <v>2016</v>
      </c>
      <c r="F50" s="6">
        <v>2017</v>
      </c>
      <c r="G50" s="6">
        <v>2018</v>
      </c>
      <c r="H50" s="5">
        <v>2019</v>
      </c>
      <c r="I50" s="5">
        <v>2020</v>
      </c>
      <c r="J50" s="5">
        <v>2021</v>
      </c>
      <c r="K50" s="5">
        <v>2022</v>
      </c>
      <c r="L50" s="6">
        <v>2023</v>
      </c>
      <c r="M50" s="6">
        <v>2024</v>
      </c>
      <c r="N50" s="6">
        <v>2025</v>
      </c>
      <c r="O50" s="5" t="s">
        <v>240</v>
      </c>
    </row>
    <row r="51" spans="2:15" ht="18" x14ac:dyDescent="0.25">
      <c r="B51" s="18" t="s">
        <v>63</v>
      </c>
      <c r="C51" s="62"/>
      <c r="D51" s="62"/>
      <c r="E51" s="62">
        <v>98.272999999999996</v>
      </c>
      <c r="F51" s="62">
        <v>160.53700000000001</v>
      </c>
      <c r="G51" s="62">
        <v>189.476</v>
      </c>
      <c r="H51" s="62">
        <v>187.86799999999999</v>
      </c>
      <c r="I51" s="62">
        <v>252.78399999999999</v>
      </c>
      <c r="J51" s="62">
        <v>405.71699999999998</v>
      </c>
      <c r="K51" s="62">
        <v>361.846</v>
      </c>
      <c r="L51" s="62">
        <v>340.346</v>
      </c>
      <c r="M51" s="62">
        <v>326.79700000000003</v>
      </c>
      <c r="N51" s="62">
        <v>482.91500000000002</v>
      </c>
      <c r="O51" s="67"/>
    </row>
    <row r="52" spans="2:15" x14ac:dyDescent="0.25">
      <c r="B52" s="16"/>
      <c r="C52" s="73"/>
      <c r="D52" s="73"/>
      <c r="E52" s="73"/>
      <c r="F52" s="73"/>
      <c r="G52" s="73"/>
      <c r="H52" s="73"/>
      <c r="I52" s="73"/>
      <c r="J52" s="73"/>
      <c r="K52" s="73"/>
      <c r="L52" s="73"/>
      <c r="M52" s="73"/>
      <c r="N52" s="73"/>
      <c r="O52" s="47"/>
    </row>
    <row r="53" spans="2:15" x14ac:dyDescent="0.25">
      <c r="B53" s="16" t="s">
        <v>177</v>
      </c>
      <c r="C53" s="58">
        <v>0</v>
      </c>
      <c r="D53" s="58">
        <v>0</v>
      </c>
      <c r="E53" s="58">
        <v>0.495</v>
      </c>
      <c r="F53" s="58">
        <v>0</v>
      </c>
      <c r="G53" s="58">
        <v>0</v>
      </c>
      <c r="H53" s="58">
        <v>0</v>
      </c>
      <c r="I53" s="58">
        <v>0</v>
      </c>
      <c r="J53" s="58">
        <v>0</v>
      </c>
      <c r="K53" s="58">
        <v>0</v>
      </c>
      <c r="L53" s="58">
        <v>0</v>
      </c>
      <c r="M53" s="58">
        <v>0</v>
      </c>
      <c r="N53" s="58">
        <v>0</v>
      </c>
      <c r="O53" s="47"/>
    </row>
    <row r="54" spans="2:15" x14ac:dyDescent="0.25">
      <c r="B54" s="41" t="s">
        <v>111</v>
      </c>
      <c r="C54" s="58">
        <f>-0.135-5.815</f>
        <v>-5.95</v>
      </c>
      <c r="D54" s="58">
        <f>-0.124-1.641</f>
        <v>-1.7650000000000001</v>
      </c>
      <c r="E54" s="58">
        <v>-77.847999999999999</v>
      </c>
      <c r="F54" s="58">
        <v>-114.687</v>
      </c>
      <c r="G54" s="58">
        <v>-128.70699999999999</v>
      </c>
      <c r="H54" s="58">
        <v>-115.325</v>
      </c>
      <c r="I54" s="58">
        <v>-175.48400000000001</v>
      </c>
      <c r="J54" s="58">
        <v>-192.07300000000001</v>
      </c>
      <c r="K54" s="58">
        <v>-288.27499999999998</v>
      </c>
      <c r="L54" s="58">
        <v>-246.63</v>
      </c>
      <c r="M54" s="58">
        <v>-240.78399999999999</v>
      </c>
      <c r="N54" s="58">
        <v>-280.98899999999998</v>
      </c>
      <c r="O54" s="71"/>
    </row>
    <row r="55" spans="2:15" x14ac:dyDescent="0.25">
      <c r="B55" s="16" t="s">
        <v>112</v>
      </c>
      <c r="C55" s="58">
        <v>0</v>
      </c>
      <c r="D55" s="58">
        <v>0</v>
      </c>
      <c r="E55" s="58">
        <v>-11.278</v>
      </c>
      <c r="F55" s="58">
        <v>-16.664000000000001</v>
      </c>
      <c r="G55" s="58">
        <v>-13.43</v>
      </c>
      <c r="H55" s="58">
        <v>-23.024999999999999</v>
      </c>
      <c r="I55" s="58">
        <v>-31.683</v>
      </c>
      <c r="J55" s="58">
        <v>-32.276000000000003</v>
      </c>
      <c r="K55" s="58">
        <v>-34.119</v>
      </c>
      <c r="L55" s="58">
        <v>-37.799999999999997</v>
      </c>
      <c r="M55" s="58">
        <v>-36.616999999999997</v>
      </c>
      <c r="N55" s="58">
        <v>-47.52</v>
      </c>
      <c r="O55" s="71"/>
    </row>
    <row r="56" spans="2:15" x14ac:dyDescent="0.25">
      <c r="B56" s="16"/>
      <c r="C56" s="61"/>
      <c r="D56" s="61"/>
      <c r="E56" s="61"/>
      <c r="F56" s="61"/>
      <c r="G56" s="61"/>
      <c r="H56" s="61"/>
      <c r="I56" s="61"/>
      <c r="J56" s="61"/>
      <c r="K56" s="58"/>
      <c r="L56" s="61"/>
      <c r="M56" s="61"/>
      <c r="N56" s="61"/>
      <c r="O56" s="55"/>
    </row>
    <row r="57" spans="2:15" ht="18" x14ac:dyDescent="0.25">
      <c r="B57" s="18" t="s">
        <v>113</v>
      </c>
      <c r="C57" s="62">
        <f t="shared" ref="C57:N57" si="0">+SUM(C51:C55)</f>
        <v>-5.95</v>
      </c>
      <c r="D57" s="62">
        <f t="shared" si="0"/>
        <v>-1.7650000000000001</v>
      </c>
      <c r="E57" s="62">
        <f t="shared" si="0"/>
        <v>9.6420000000000012</v>
      </c>
      <c r="F57" s="62">
        <f t="shared" si="0"/>
        <v>29.186000000000007</v>
      </c>
      <c r="G57" s="62">
        <f t="shared" si="0"/>
        <v>47.339000000000006</v>
      </c>
      <c r="H57" s="62">
        <f t="shared" si="0"/>
        <v>49.517999999999994</v>
      </c>
      <c r="I57" s="62">
        <f t="shared" si="0"/>
        <v>45.616999999999983</v>
      </c>
      <c r="J57" s="62">
        <f t="shared" si="0"/>
        <v>181.36799999999997</v>
      </c>
      <c r="K57" s="62">
        <f t="shared" si="0"/>
        <v>39.452000000000027</v>
      </c>
      <c r="L57" s="62">
        <f t="shared" si="0"/>
        <v>55.916000000000011</v>
      </c>
      <c r="M57" s="62">
        <f t="shared" si="0"/>
        <v>49.396000000000036</v>
      </c>
      <c r="N57" s="62">
        <f t="shared" si="0"/>
        <v>154.40600000000003</v>
      </c>
      <c r="O57" s="55"/>
    </row>
    <row r="58" spans="2:15" x14ac:dyDescent="0.25">
      <c r="B58" s="16"/>
      <c r="C58" s="61"/>
      <c r="D58" s="61"/>
      <c r="E58" s="61"/>
      <c r="F58" s="61"/>
      <c r="G58" s="61"/>
      <c r="H58" s="61"/>
      <c r="I58" s="61"/>
      <c r="J58" s="61"/>
      <c r="K58" s="58"/>
      <c r="L58" s="61"/>
      <c r="M58" s="61"/>
      <c r="N58" s="61"/>
      <c r="O58" s="55"/>
    </row>
    <row r="59" spans="2:15" x14ac:dyDescent="0.25">
      <c r="B59" s="16" t="s">
        <v>114</v>
      </c>
      <c r="C59" s="58">
        <v>-5.6059999999999999</v>
      </c>
      <c r="D59" s="58">
        <v>-4.4800000000000004</v>
      </c>
      <c r="E59" s="58">
        <v>-4.66</v>
      </c>
      <c r="F59" s="58">
        <v>-4.3559999999999999</v>
      </c>
      <c r="G59" s="58">
        <v>-5.867</v>
      </c>
      <c r="H59" s="58">
        <v>-6.718</v>
      </c>
      <c r="I59" s="58">
        <v>-6.8540000000000001</v>
      </c>
      <c r="J59" s="58">
        <v>-9.7149999999999999</v>
      </c>
      <c r="K59" s="58">
        <v>-9.9540000000000006</v>
      </c>
      <c r="L59" s="58">
        <v>-12.741</v>
      </c>
      <c r="M59" s="58">
        <v>-7.9269999999999996</v>
      </c>
      <c r="N59" s="58">
        <v>-10.472</v>
      </c>
      <c r="O59" s="55"/>
    </row>
    <row r="60" spans="2:15" x14ac:dyDescent="0.25">
      <c r="B60" s="120" t="s">
        <v>171</v>
      </c>
      <c r="C60" s="58">
        <v>0</v>
      </c>
      <c r="D60" s="58">
        <v>0</v>
      </c>
      <c r="E60" s="58">
        <v>-1.4E-2</v>
      </c>
      <c r="F60" s="58">
        <v>-7.0000000000000001E-3</v>
      </c>
      <c r="G60" s="58"/>
      <c r="H60" s="58"/>
      <c r="I60" s="58"/>
      <c r="J60" s="58"/>
      <c r="K60" s="58"/>
      <c r="L60" s="58"/>
      <c r="M60" s="58"/>
      <c r="N60" s="58"/>
      <c r="O60" s="55"/>
    </row>
    <row r="61" spans="2:15" x14ac:dyDescent="0.25">
      <c r="B61" s="16" t="s">
        <v>115</v>
      </c>
      <c r="C61" s="58">
        <v>0</v>
      </c>
      <c r="D61" s="58">
        <v>0</v>
      </c>
      <c r="E61" s="58">
        <v>-0.13700000000000001</v>
      </c>
      <c r="F61" s="58">
        <v>-0.152</v>
      </c>
      <c r="G61" s="58">
        <v>-0.216</v>
      </c>
      <c r="H61" s="58">
        <v>-0.61899999999999999</v>
      </c>
      <c r="I61" s="58">
        <v>-0.81599999999999995</v>
      </c>
      <c r="J61" s="58">
        <v>-0.89900000000000002</v>
      </c>
      <c r="K61" s="58">
        <v>-1.2789999999999999</v>
      </c>
      <c r="L61" s="58">
        <v>-0.66100000000000003</v>
      </c>
      <c r="M61" s="58">
        <v>-1.379</v>
      </c>
      <c r="N61" s="58">
        <v>-7.0090000000000003</v>
      </c>
      <c r="O61" s="55"/>
    </row>
    <row r="62" spans="2:15" x14ac:dyDescent="0.25">
      <c r="B62" s="16" t="s">
        <v>116</v>
      </c>
      <c r="C62" s="58">
        <v>0</v>
      </c>
      <c r="D62" s="58">
        <v>0</v>
      </c>
      <c r="E62" s="58">
        <v>-1.022</v>
      </c>
      <c r="F62" s="58">
        <v>0</v>
      </c>
      <c r="G62" s="58">
        <v>-1.0209999999999999</v>
      </c>
      <c r="H62" s="58">
        <v>-3.5880000000000001</v>
      </c>
      <c r="I62" s="58">
        <v>-1.661</v>
      </c>
      <c r="J62" s="58">
        <v>-1.8</v>
      </c>
      <c r="K62" s="58">
        <v>-4.2569999999999997</v>
      </c>
      <c r="L62" s="58">
        <v>-6.4669999999999996</v>
      </c>
      <c r="M62" s="58">
        <v>-7.95</v>
      </c>
      <c r="N62" s="58">
        <v>-8.4260000000000002</v>
      </c>
      <c r="O62" s="55"/>
    </row>
    <row r="63" spans="2:15" x14ac:dyDescent="0.25">
      <c r="B63" s="16" t="s">
        <v>117</v>
      </c>
      <c r="C63" s="58">
        <v>0</v>
      </c>
      <c r="D63" s="58">
        <v>0</v>
      </c>
      <c r="E63" s="58">
        <v>0</v>
      </c>
      <c r="F63" s="58">
        <v>0</v>
      </c>
      <c r="G63" s="58">
        <v>0</v>
      </c>
      <c r="H63" s="58">
        <v>-1.694</v>
      </c>
      <c r="I63" s="58">
        <v>-4.9000000000000002E-2</v>
      </c>
      <c r="J63" s="58">
        <v>-2.1160000000000001</v>
      </c>
      <c r="K63" s="58">
        <v>-3.0529999999999999</v>
      </c>
      <c r="L63" s="58">
        <v>-2.3839999999999999</v>
      </c>
      <c r="M63" s="58">
        <v>-2.7839999999999998</v>
      </c>
      <c r="N63" s="58">
        <v>-0.29099999999999998</v>
      </c>
      <c r="O63" s="55"/>
    </row>
    <row r="64" spans="2:15" x14ac:dyDescent="0.25">
      <c r="B64" s="16" t="s">
        <v>164</v>
      </c>
      <c r="C64" s="58">
        <v>8.9999999999999993E-3</v>
      </c>
      <c r="D64" s="58">
        <v>0.13500000000000001</v>
      </c>
      <c r="E64" s="58">
        <v>-0.90300000000000002</v>
      </c>
      <c r="F64" s="58">
        <v>0</v>
      </c>
      <c r="G64" s="58">
        <v>-0.28100000000000003</v>
      </c>
      <c r="H64" s="58">
        <v>-0.373</v>
      </c>
      <c r="I64" s="58">
        <v>-0.52500000000000002</v>
      </c>
      <c r="J64" s="58">
        <v>0</v>
      </c>
      <c r="K64" s="58">
        <v>0.28599999999999998</v>
      </c>
      <c r="L64" s="58">
        <v>1.637</v>
      </c>
      <c r="M64" s="58">
        <f>-1.204+0.383</f>
        <v>-0.82099999999999995</v>
      </c>
      <c r="N64" s="58">
        <f>-21.418+4.028</f>
        <v>-17.39</v>
      </c>
      <c r="O64" s="55"/>
    </row>
    <row r="65" spans="2:15" x14ac:dyDescent="0.25">
      <c r="B65" s="16"/>
      <c r="C65" s="58"/>
      <c r="D65" s="58"/>
      <c r="E65" s="58"/>
      <c r="F65" s="58"/>
      <c r="G65" s="58"/>
      <c r="H65" s="58"/>
      <c r="I65" s="58"/>
      <c r="J65" s="58"/>
      <c r="K65" s="58"/>
      <c r="L65" s="61"/>
      <c r="M65" s="61"/>
      <c r="N65" s="61"/>
      <c r="O65" s="55"/>
    </row>
    <row r="66" spans="2:15" ht="18" x14ac:dyDescent="0.25">
      <c r="B66" s="18" t="s">
        <v>0</v>
      </c>
      <c r="C66" s="62">
        <f t="shared" ref="C66:E66" si="1">C71-C69</f>
        <v>-11.437000000000001</v>
      </c>
      <c r="D66" s="62">
        <f t="shared" si="1"/>
        <v>-5.8350000000000009</v>
      </c>
      <c r="E66" s="62">
        <f t="shared" si="1"/>
        <v>14.198000000000002</v>
      </c>
      <c r="F66" s="62">
        <f t="shared" ref="F66:I66" si="2">F71-F69</f>
        <v>41.341999999999999</v>
      </c>
      <c r="G66" s="62">
        <f t="shared" si="2"/>
        <v>53.384000000000007</v>
      </c>
      <c r="H66" s="62">
        <f>H71-H69</f>
        <v>52.602999999999994</v>
      </c>
      <c r="I66" s="62">
        <f t="shared" si="2"/>
        <v>66.418999999999983</v>
      </c>
      <c r="J66" s="62">
        <f>J71-J69</f>
        <v>199.11399999999992</v>
      </c>
      <c r="K66" s="62">
        <f>K71-K69</f>
        <v>55.314000000000021</v>
      </c>
      <c r="L66" s="62">
        <f>L71-L69</f>
        <v>73.100000000000009</v>
      </c>
      <c r="M66" s="62">
        <f>M71-M69</f>
        <v>66.355999999999995</v>
      </c>
      <c r="N66" s="62">
        <f>N71-N69</f>
        <v>110.81800000000003</v>
      </c>
      <c r="O66" s="67"/>
    </row>
    <row r="67" spans="2:15" x14ac:dyDescent="0.25">
      <c r="B67" s="16" t="s">
        <v>71</v>
      </c>
      <c r="C67" s="115">
        <f t="shared" ref="C67:E67" si="3">+IFERROR(C66/C51,0)</f>
        <v>0</v>
      </c>
      <c r="D67" s="115">
        <f t="shared" si="3"/>
        <v>0</v>
      </c>
      <c r="E67" s="115">
        <f t="shared" si="3"/>
        <v>0.14447508471299342</v>
      </c>
      <c r="F67" s="115">
        <f>+IFERROR(F66/F51,0)</f>
        <v>0.25752318780094308</v>
      </c>
      <c r="G67" s="115">
        <f t="shared" ref="G67:L67" si="4">+IFERROR(G66/G51,0)</f>
        <v>0.28174544533344598</v>
      </c>
      <c r="H67" s="115">
        <f t="shared" si="4"/>
        <v>0.2799997870845487</v>
      </c>
      <c r="I67" s="115">
        <f t="shared" si="4"/>
        <v>0.26275001582378626</v>
      </c>
      <c r="J67" s="115">
        <f t="shared" si="4"/>
        <v>0.49077066033713135</v>
      </c>
      <c r="K67" s="115">
        <f t="shared" si="4"/>
        <v>0.1528661364226771</v>
      </c>
      <c r="L67" s="115">
        <f t="shared" si="4"/>
        <v>0.21478142831118924</v>
      </c>
      <c r="M67" s="115">
        <f t="shared" ref="M67:N67" si="5">+IFERROR(M66/M51,0)</f>
        <v>0.2030495995985275</v>
      </c>
      <c r="N67" s="115">
        <f t="shared" si="5"/>
        <v>0.22947723719495153</v>
      </c>
      <c r="O67" s="28"/>
    </row>
    <row r="68" spans="2:15" x14ac:dyDescent="0.25">
      <c r="B68" s="16"/>
      <c r="C68" s="96"/>
      <c r="D68" s="96"/>
      <c r="E68" s="96"/>
      <c r="F68" s="96"/>
      <c r="G68" s="96"/>
      <c r="H68" s="96"/>
      <c r="I68" s="96"/>
      <c r="J68" s="96"/>
      <c r="K68" s="58"/>
      <c r="L68" s="58"/>
      <c r="M68" s="58"/>
      <c r="N68" s="58"/>
      <c r="O68" s="55"/>
    </row>
    <row r="69" spans="2:15" x14ac:dyDescent="0.25">
      <c r="B69" s="110" t="s">
        <v>118</v>
      </c>
      <c r="C69" s="111">
        <f t="shared" ref="C69:I69" si="6">-SUM(C161:C162)</f>
        <v>-0.11</v>
      </c>
      <c r="D69" s="111">
        <f t="shared" si="6"/>
        <v>-0.27500000000000002</v>
      </c>
      <c r="E69" s="111">
        <f t="shared" si="6"/>
        <v>-11.292000000000002</v>
      </c>
      <c r="F69" s="111">
        <f t="shared" si="6"/>
        <v>-16.670999999999999</v>
      </c>
      <c r="G69" s="111">
        <f t="shared" si="6"/>
        <v>-13.43</v>
      </c>
      <c r="H69" s="111">
        <f t="shared" si="6"/>
        <v>-16.076999999999998</v>
      </c>
      <c r="I69" s="111">
        <f t="shared" si="6"/>
        <v>-30.706999999999997</v>
      </c>
      <c r="J69" s="111">
        <f>-SUM(J161:J162)</f>
        <v>-32.275999999999996</v>
      </c>
      <c r="K69" s="111">
        <v>-34.119</v>
      </c>
      <c r="L69" s="111">
        <v>-37.799999999999997</v>
      </c>
      <c r="M69" s="111">
        <v>-37.820999999999955</v>
      </c>
      <c r="N69" s="111"/>
      <c r="O69" s="55"/>
    </row>
    <row r="70" spans="2:15" x14ac:dyDescent="0.25">
      <c r="B70" s="16"/>
      <c r="C70" s="48"/>
      <c r="D70" s="48"/>
      <c r="E70" s="48"/>
      <c r="F70" s="48"/>
      <c r="G70" s="48"/>
      <c r="H70" s="48"/>
      <c r="I70" s="48"/>
      <c r="J70" s="61"/>
      <c r="K70" s="58"/>
      <c r="L70" s="61"/>
      <c r="M70" s="61"/>
      <c r="N70" s="61"/>
      <c r="O70" s="55"/>
    </row>
    <row r="71" spans="2:15" ht="18" x14ac:dyDescent="0.25">
      <c r="B71" s="18" t="s">
        <v>1</v>
      </c>
      <c r="C71" s="62">
        <f t="shared" ref="C71:E71" si="7">+SUM(C57:C65)</f>
        <v>-11.547000000000001</v>
      </c>
      <c r="D71" s="62">
        <f t="shared" si="7"/>
        <v>-6.1100000000000012</v>
      </c>
      <c r="E71" s="62">
        <f t="shared" si="7"/>
        <v>2.906000000000001</v>
      </c>
      <c r="F71" s="62">
        <f>+SUM(F57:F65)</f>
        <v>24.671000000000003</v>
      </c>
      <c r="G71" s="62">
        <f t="shared" ref="G71:N71" si="8">+SUM(G57:G65)</f>
        <v>39.954000000000008</v>
      </c>
      <c r="H71" s="62">
        <f t="shared" si="8"/>
        <v>36.525999999999996</v>
      </c>
      <c r="I71" s="62">
        <f t="shared" si="8"/>
        <v>35.711999999999982</v>
      </c>
      <c r="J71" s="62">
        <f t="shared" si="8"/>
        <v>166.83799999999994</v>
      </c>
      <c r="K71" s="62">
        <f t="shared" si="8"/>
        <v>21.195000000000025</v>
      </c>
      <c r="L71" s="62">
        <f t="shared" si="8"/>
        <v>35.300000000000011</v>
      </c>
      <c r="M71" s="62">
        <f t="shared" si="8"/>
        <v>28.535000000000036</v>
      </c>
      <c r="N71" s="62">
        <f t="shared" si="8"/>
        <v>110.81800000000003</v>
      </c>
      <c r="O71" s="67"/>
    </row>
    <row r="72" spans="2:15" x14ac:dyDescent="0.25">
      <c r="B72" s="16" t="s">
        <v>2</v>
      </c>
      <c r="C72" s="33"/>
      <c r="D72" s="33"/>
      <c r="E72" s="33"/>
      <c r="F72" s="33"/>
      <c r="G72" s="33"/>
      <c r="H72" s="33"/>
      <c r="I72" s="33"/>
      <c r="J72" s="33"/>
      <c r="K72" s="33"/>
      <c r="L72" s="33"/>
      <c r="M72" s="33"/>
      <c r="N72" s="33"/>
      <c r="O72" s="78"/>
    </row>
    <row r="73" spans="2:15" x14ac:dyDescent="0.25">
      <c r="B73" s="16"/>
      <c r="C73" s="33"/>
      <c r="D73" s="33"/>
      <c r="E73" s="33"/>
      <c r="F73" s="33"/>
      <c r="G73" s="33"/>
      <c r="H73" s="33"/>
      <c r="I73" s="33"/>
      <c r="J73" s="58"/>
      <c r="K73" s="58"/>
      <c r="L73" s="58"/>
      <c r="M73" s="58"/>
      <c r="N73" s="58"/>
      <c r="O73" s="26"/>
    </row>
    <row r="74" spans="2:15" x14ac:dyDescent="0.25">
      <c r="B74" s="16" t="s">
        <v>120</v>
      </c>
      <c r="C74" s="58">
        <f>-0.409+1.186</f>
        <v>0.77699999999999991</v>
      </c>
      <c r="D74" s="58">
        <f>-4.721+0.053+0.092</f>
        <v>-4.5760000000000005</v>
      </c>
      <c r="E74" s="58">
        <f>0.292-0.666-0.01</f>
        <v>-0.38400000000000006</v>
      </c>
      <c r="F74" s="58">
        <f>0.005-2.212</f>
        <v>-2.2070000000000003</v>
      </c>
      <c r="G74" s="58">
        <f>0.158+1.613</f>
        <v>1.7709999999999999</v>
      </c>
      <c r="H74" s="58">
        <f>0.35+0.088</f>
        <v>0.43799999999999994</v>
      </c>
      <c r="I74" s="58">
        <v>-3.8260000000000001</v>
      </c>
      <c r="J74" s="58">
        <v>6.5890000000000004</v>
      </c>
      <c r="K74" s="58">
        <v>11.545999999999999</v>
      </c>
      <c r="L74" s="58">
        <v>-1.278</v>
      </c>
      <c r="M74" s="58">
        <v>3.09</v>
      </c>
      <c r="N74" s="58">
        <v>-6.2629999999999999</v>
      </c>
      <c r="O74" s="26"/>
    </row>
    <row r="75" spans="2:15" ht="18" x14ac:dyDescent="0.25">
      <c r="B75" s="18" t="s">
        <v>119</v>
      </c>
      <c r="C75" s="58">
        <v>1.909</v>
      </c>
      <c r="D75" s="58">
        <v>3.7999999999999999E-2</v>
      </c>
      <c r="E75" s="58">
        <v>4.1000000000000002E-2</v>
      </c>
      <c r="F75" s="58">
        <v>2.1999999999999999E-2</v>
      </c>
      <c r="G75" s="58">
        <v>7.0999999999999994E-2</v>
      </c>
      <c r="H75" s="58">
        <v>5.1999999999999998E-2</v>
      </c>
      <c r="I75" s="58">
        <v>0.19700000000000001</v>
      </c>
      <c r="J75" s="58">
        <v>5.7000000000000002E-2</v>
      </c>
      <c r="K75" s="58">
        <v>0.624</v>
      </c>
      <c r="L75" s="58">
        <v>5.3929999999999998</v>
      </c>
      <c r="M75" s="58">
        <v>1.887</v>
      </c>
      <c r="N75" s="58">
        <v>1.8340000000000001</v>
      </c>
      <c r="O75" s="42"/>
    </row>
    <row r="76" spans="2:15" ht="18" x14ac:dyDescent="0.25">
      <c r="B76" s="18" t="s">
        <v>3</v>
      </c>
      <c r="C76" s="58">
        <v>-2.3690000000000002</v>
      </c>
      <c r="D76" s="58">
        <v>-4.3319999999999999</v>
      </c>
      <c r="E76" s="58">
        <v>-2.7130000000000001</v>
      </c>
      <c r="F76" s="58">
        <v>-0.57899999999999996</v>
      </c>
      <c r="G76" s="58">
        <v>-0.253</v>
      </c>
      <c r="H76" s="58">
        <v>-8.8999999999999996E-2</v>
      </c>
      <c r="I76" s="58">
        <v>-0.34100000000000003</v>
      </c>
      <c r="J76" s="58">
        <v>-13.657</v>
      </c>
      <c r="K76" s="58">
        <v>-1.0449999999999999</v>
      </c>
      <c r="L76" s="58">
        <v>-3.3220000000000001</v>
      </c>
      <c r="M76" s="58">
        <v>-1.9890000000000001</v>
      </c>
      <c r="N76" s="58">
        <v>-4.1260000000000003</v>
      </c>
      <c r="O76" s="71"/>
    </row>
    <row r="77" spans="2:15" x14ac:dyDescent="0.25">
      <c r="C77" s="58"/>
      <c r="D77" s="58"/>
      <c r="E77" s="58"/>
      <c r="F77" s="58"/>
      <c r="G77" s="58"/>
      <c r="H77" s="58"/>
      <c r="I77" s="58"/>
      <c r="J77" s="58"/>
      <c r="K77" s="58"/>
      <c r="L77" s="58"/>
      <c r="M77" s="58"/>
      <c r="N77" s="58"/>
      <c r="O77" s="71"/>
    </row>
    <row r="78" spans="2:15" x14ac:dyDescent="0.25">
      <c r="B78" s="16"/>
      <c r="C78" s="39"/>
      <c r="D78" s="39"/>
      <c r="E78" s="39"/>
      <c r="F78" s="39"/>
      <c r="G78" s="39"/>
      <c r="H78" s="39"/>
      <c r="I78" s="39"/>
      <c r="J78" s="39"/>
      <c r="K78" s="39"/>
      <c r="L78" s="39"/>
      <c r="M78" s="39"/>
      <c r="N78" s="39"/>
      <c r="O78" s="28"/>
    </row>
    <row r="79" spans="2:15" ht="18" x14ac:dyDescent="0.25">
      <c r="B79" s="18" t="s">
        <v>4</v>
      </c>
      <c r="C79" s="62">
        <f t="shared" ref="C79:E79" si="9">+SUM(C71:C76)</f>
        <v>-11.23</v>
      </c>
      <c r="D79" s="62">
        <f t="shared" si="9"/>
        <v>-14.98</v>
      </c>
      <c r="E79" s="62">
        <f t="shared" si="9"/>
        <v>-0.14999999999999902</v>
      </c>
      <c r="F79" s="62">
        <f>+SUM(F71:F76)</f>
        <v>21.907</v>
      </c>
      <c r="G79" s="62">
        <f t="shared" ref="G79:N79" si="10">+SUM(G71:G76)</f>
        <v>41.543000000000006</v>
      </c>
      <c r="H79" s="62">
        <f t="shared" si="10"/>
        <v>36.927</v>
      </c>
      <c r="I79" s="62">
        <f t="shared" si="10"/>
        <v>31.741999999999983</v>
      </c>
      <c r="J79" s="62">
        <f t="shared" si="10"/>
        <v>159.82699999999991</v>
      </c>
      <c r="K79" s="62">
        <f t="shared" si="10"/>
        <v>32.320000000000029</v>
      </c>
      <c r="L79" s="62">
        <f t="shared" si="10"/>
        <v>36.093000000000011</v>
      </c>
      <c r="M79" s="62">
        <f t="shared" si="10"/>
        <v>31.523000000000035</v>
      </c>
      <c r="N79" s="62">
        <f t="shared" si="10"/>
        <v>102.26300000000002</v>
      </c>
      <c r="O79" s="67"/>
    </row>
    <row r="80" spans="2:15" x14ac:dyDescent="0.25">
      <c r="B80" s="16" t="s">
        <v>5</v>
      </c>
      <c r="C80" s="58">
        <v>-1.7999999999999999E-2</v>
      </c>
      <c r="D80" s="58">
        <v>-0.03</v>
      </c>
      <c r="E80" s="58">
        <v>12.186999999999999</v>
      </c>
      <c r="F80" s="58">
        <v>-3.6960000000000002</v>
      </c>
      <c r="G80" s="58">
        <v>-7.1020000000000003</v>
      </c>
      <c r="H80" s="58">
        <v>-6.2069999999999999</v>
      </c>
      <c r="I80" s="58">
        <v>-1.3520000000000001</v>
      </c>
      <c r="J80" s="58">
        <v>-27.600999999999999</v>
      </c>
      <c r="K80" s="58">
        <v>-1.3939999999999999</v>
      </c>
      <c r="L80" s="58">
        <v>0.56999999999999995</v>
      </c>
      <c r="M80" s="58">
        <v>1.0369999999999999</v>
      </c>
      <c r="N80" s="58">
        <v>-16.899999999999999</v>
      </c>
      <c r="O80" s="71"/>
    </row>
    <row r="81" spans="2:15" x14ac:dyDescent="0.25">
      <c r="B81" s="16" t="s">
        <v>6</v>
      </c>
      <c r="C81" s="116">
        <f t="shared" ref="C81:E81" si="11">+IF(C80&lt;0,-C80/C79,"NA")</f>
        <v>-1.6028495102404273E-3</v>
      </c>
      <c r="D81" s="116">
        <f t="shared" si="11"/>
        <v>-2.0026702269692921E-3</v>
      </c>
      <c r="E81" s="116" t="str">
        <f t="shared" si="11"/>
        <v>NA</v>
      </c>
      <c r="F81" s="116">
        <f>+IF(F80&lt;0,-F80/F79,"NA")</f>
        <v>0.16871319669512028</v>
      </c>
      <c r="G81" s="116">
        <f t="shared" ref="G81:N81" si="12">+IF(G80&lt;0,-G80/G79,"NA")</f>
        <v>0.17095539561418288</v>
      </c>
      <c r="H81" s="116">
        <f t="shared" si="12"/>
        <v>0.16808839060849784</v>
      </c>
      <c r="I81" s="116">
        <f t="shared" si="12"/>
        <v>4.2593409362989124E-2</v>
      </c>
      <c r="J81" s="116">
        <f t="shared" si="12"/>
        <v>0.17269297427843866</v>
      </c>
      <c r="K81" s="116">
        <f t="shared" si="12"/>
        <v>4.3131188118811843E-2</v>
      </c>
      <c r="L81" s="116" t="str">
        <f t="shared" si="12"/>
        <v>NA</v>
      </c>
      <c r="M81" s="116" t="str">
        <f t="shared" si="12"/>
        <v>NA</v>
      </c>
      <c r="N81" s="116">
        <f t="shared" si="12"/>
        <v>0.16526016252212428</v>
      </c>
      <c r="O81" s="28"/>
    </row>
    <row r="82" spans="2:15" x14ac:dyDescent="0.25">
      <c r="B82" s="16" t="s">
        <v>45</v>
      </c>
      <c r="C82" s="33"/>
      <c r="D82" s="33"/>
      <c r="E82" s="33"/>
      <c r="F82" s="33"/>
      <c r="G82" s="33"/>
      <c r="H82" s="33"/>
      <c r="I82" s="33"/>
      <c r="J82" s="33"/>
      <c r="K82" s="33"/>
      <c r="L82" s="33"/>
      <c r="M82" s="33"/>
      <c r="N82" s="33"/>
      <c r="O82" s="75"/>
    </row>
    <row r="83" spans="2:15" x14ac:dyDescent="0.25">
      <c r="B83" s="16"/>
      <c r="C83" s="33"/>
      <c r="D83" s="33"/>
      <c r="E83" s="33"/>
      <c r="F83" s="33"/>
      <c r="G83" s="33"/>
      <c r="H83" s="33"/>
      <c r="I83" s="33"/>
      <c r="J83" s="33"/>
      <c r="K83" s="33"/>
      <c r="L83" s="33"/>
      <c r="M83" s="33"/>
      <c r="N83" s="33"/>
      <c r="O83" s="28"/>
    </row>
    <row r="84" spans="2:15" ht="18" x14ac:dyDescent="0.25">
      <c r="B84" s="19" t="s">
        <v>121</v>
      </c>
      <c r="C84" s="62">
        <f t="shared" ref="C84:E84" si="13">C79+C80</f>
        <v>-11.248000000000001</v>
      </c>
      <c r="D84" s="62">
        <f t="shared" si="13"/>
        <v>-15.01</v>
      </c>
      <c r="E84" s="62">
        <f t="shared" si="13"/>
        <v>12.037000000000001</v>
      </c>
      <c r="F84" s="62">
        <f>F79+F80</f>
        <v>18.210999999999999</v>
      </c>
      <c r="G84" s="62">
        <f t="shared" ref="G84:J84" si="14">G79+G80</f>
        <v>34.441000000000003</v>
      </c>
      <c r="H84" s="62">
        <f t="shared" si="14"/>
        <v>30.72</v>
      </c>
      <c r="I84" s="62">
        <f t="shared" si="14"/>
        <v>30.389999999999983</v>
      </c>
      <c r="J84" s="62">
        <f t="shared" si="14"/>
        <v>132.22599999999991</v>
      </c>
      <c r="K84" s="62">
        <f>K79+K80</f>
        <v>30.92600000000003</v>
      </c>
      <c r="L84" s="62">
        <f>L79+L80</f>
        <v>36.663000000000011</v>
      </c>
      <c r="M84" s="62">
        <f>M79+M80</f>
        <v>32.560000000000038</v>
      </c>
      <c r="N84" s="62">
        <f>N79+N80</f>
        <v>85.363000000000028</v>
      </c>
      <c r="O84" s="67"/>
    </row>
    <row r="85" spans="2:15" x14ac:dyDescent="0.25">
      <c r="B85" s="16" t="s">
        <v>7</v>
      </c>
      <c r="C85" s="58">
        <v>-2E-3</v>
      </c>
      <c r="D85" s="58">
        <v>0</v>
      </c>
      <c r="E85" s="58">
        <v>0</v>
      </c>
      <c r="F85" s="58">
        <v>-2.8000000000000001E-2</v>
      </c>
      <c r="G85" s="58">
        <v>-0.27400000000000002</v>
      </c>
      <c r="H85" s="58">
        <v>-6.6029999999999998</v>
      </c>
      <c r="I85" s="58">
        <v>-1.089</v>
      </c>
      <c r="J85" s="58">
        <v>-1.4179999999999999</v>
      </c>
      <c r="K85" s="58">
        <v>-2.2290000000000001</v>
      </c>
      <c r="L85" s="58">
        <v>-2.1059999999999999</v>
      </c>
      <c r="M85" s="58">
        <v>0</v>
      </c>
      <c r="N85" s="58">
        <v>0</v>
      </c>
      <c r="O85" s="42"/>
    </row>
    <row r="86" spans="2:15" ht="15" customHeight="1" x14ac:dyDescent="0.25">
      <c r="B86" s="19" t="s">
        <v>90</v>
      </c>
      <c r="C86" s="62">
        <f t="shared" ref="C86" si="15">C84-C85</f>
        <v>-11.246</v>
      </c>
      <c r="D86" s="62">
        <f t="shared" ref="D86" si="16">D84-D85</f>
        <v>-15.01</v>
      </c>
      <c r="E86" s="62">
        <f t="shared" ref="E86" si="17">E84-E85</f>
        <v>12.037000000000001</v>
      </c>
      <c r="F86" s="62">
        <f t="shared" ref="F86:J86" si="18">F84-F85</f>
        <v>18.238999999999997</v>
      </c>
      <c r="G86" s="62">
        <f t="shared" si="18"/>
        <v>34.715000000000003</v>
      </c>
      <c r="H86" s="62">
        <f t="shared" si="18"/>
        <v>37.323</v>
      </c>
      <c r="I86" s="62">
        <f t="shared" si="18"/>
        <v>31.478999999999981</v>
      </c>
      <c r="J86" s="62">
        <f t="shared" si="18"/>
        <v>133.64399999999992</v>
      </c>
      <c r="K86" s="62">
        <f>K84-K85</f>
        <v>33.15500000000003</v>
      </c>
      <c r="L86" s="62">
        <f>L84-L85</f>
        <v>38.769000000000013</v>
      </c>
      <c r="M86" s="62">
        <f>M84-M85</f>
        <v>32.560000000000038</v>
      </c>
      <c r="N86" s="62">
        <f>N84-N85</f>
        <v>85.363000000000028</v>
      </c>
      <c r="O86" s="67"/>
    </row>
    <row r="87" spans="2:15" x14ac:dyDescent="0.25">
      <c r="B87" s="16" t="s">
        <v>8</v>
      </c>
      <c r="C87" s="33">
        <f>IFERROR(C86/C51,0)</f>
        <v>0</v>
      </c>
      <c r="D87" s="33">
        <f t="shared" ref="D87:L87" si="19">IFERROR(D86/D51,0)</f>
        <v>0</v>
      </c>
      <c r="E87" s="33">
        <f t="shared" si="19"/>
        <v>0.12248532150234552</v>
      </c>
      <c r="F87" s="33">
        <f t="shared" si="19"/>
        <v>0.11361243825410962</v>
      </c>
      <c r="G87" s="33">
        <f t="shared" si="19"/>
        <v>0.18321581625113473</v>
      </c>
      <c r="H87" s="33">
        <f t="shared" si="19"/>
        <v>0.19866608469776653</v>
      </c>
      <c r="I87" s="33">
        <f t="shared" si="19"/>
        <v>0.12452924235711114</v>
      </c>
      <c r="J87" s="33">
        <f t="shared" si="19"/>
        <v>0.32940202160619331</v>
      </c>
      <c r="K87" s="33">
        <f t="shared" si="19"/>
        <v>9.162737739259251E-2</v>
      </c>
      <c r="L87" s="33">
        <f t="shared" si="19"/>
        <v>0.11391054985220926</v>
      </c>
      <c r="M87" s="33">
        <f t="shared" ref="M87:N87" si="20">IFERROR(M86/M51,0)</f>
        <v>9.9633717567786842E-2</v>
      </c>
      <c r="N87" s="33">
        <f t="shared" si="20"/>
        <v>0.17676609755339973</v>
      </c>
      <c r="O87" s="26"/>
    </row>
    <row r="88" spans="2:15" x14ac:dyDescent="0.25">
      <c r="B88" s="16"/>
      <c r="C88" s="33"/>
      <c r="D88" s="33"/>
      <c r="E88" s="33"/>
      <c r="F88" s="33"/>
      <c r="G88" s="33"/>
      <c r="H88" s="33"/>
      <c r="I88" s="33"/>
      <c r="J88" s="33"/>
      <c r="K88" s="33"/>
      <c r="L88" s="33"/>
      <c r="M88" s="33"/>
      <c r="N88" s="33"/>
      <c r="O88" s="26"/>
    </row>
    <row r="89" spans="2:15" ht="18" x14ac:dyDescent="0.25">
      <c r="B89" s="19" t="s">
        <v>9</v>
      </c>
      <c r="C89" s="62">
        <f t="shared" ref="C89:M89" si="21">IFERROR(C86/C258,0)</f>
        <v>-0.25517335269558905</v>
      </c>
      <c r="D89" s="62">
        <f t="shared" si="21"/>
        <v>-0.17942097587797939</v>
      </c>
      <c r="E89" s="62">
        <f t="shared" si="21"/>
        <v>0.10316249571477545</v>
      </c>
      <c r="F89" s="62">
        <f t="shared" si="21"/>
        <v>0.15469364907043015</v>
      </c>
      <c r="G89" s="62">
        <f t="shared" si="21"/>
        <v>0.25384812255493405</v>
      </c>
      <c r="H89" s="62">
        <f t="shared" si="21"/>
        <v>0.27175820415177043</v>
      </c>
      <c r="I89" s="62">
        <f t="shared" si="21"/>
        <v>0.22917318850603149</v>
      </c>
      <c r="J89" s="62">
        <f t="shared" si="21"/>
        <v>0.96706127529016706</v>
      </c>
      <c r="K89" s="62">
        <f t="shared" si="21"/>
        <v>0.23723319762158623</v>
      </c>
      <c r="L89" s="62">
        <f t="shared" si="21"/>
        <v>0.27715899342293404</v>
      </c>
      <c r="M89" s="62">
        <f t="shared" si="21"/>
        <v>0.23190222500783481</v>
      </c>
      <c r="N89" s="62">
        <f t="shared" ref="N89" si="22">IFERROR(N86/N258,0)</f>
        <v>0.60644790031188089</v>
      </c>
      <c r="O89" s="27"/>
    </row>
    <row r="90" spans="2:15" x14ac:dyDescent="0.25">
      <c r="B90" s="37" t="s">
        <v>10</v>
      </c>
      <c r="C90" s="33"/>
      <c r="D90" s="33">
        <f t="shared" ref="D90" si="23">IFERROR((D89-C89)/C89,0)</f>
        <v>-0.29686633034907456</v>
      </c>
      <c r="E90" s="33">
        <f t="shared" ref="E90" si="24">IFERROR((E89-D89)/D89,0)</f>
        <v>-1.5749745547306253</v>
      </c>
      <c r="F90" s="33">
        <f t="shared" ref="F90" si="25">IFERROR((F89-E89)/E89,0)</f>
        <v>0.49951441169209854</v>
      </c>
      <c r="G90" s="33">
        <f t="shared" ref="G90" si="26">IFERROR((G89-F89)/F89,0)</f>
        <v>0.64097313677926149</v>
      </c>
      <c r="H90" s="33">
        <f t="shared" ref="H90:N90" si="27">IFERROR((H89-G89)/G89,0)</f>
        <v>7.0554319711230273E-2</v>
      </c>
      <c r="I90" s="33">
        <f t="shared" si="27"/>
        <v>-0.15670185847252741</v>
      </c>
      <c r="J90" s="33">
        <f t="shared" si="27"/>
        <v>3.2197836561702129</v>
      </c>
      <c r="K90" s="33">
        <f t="shared" si="27"/>
        <v>-0.75468648814377937</v>
      </c>
      <c r="L90" s="33">
        <f t="shared" si="27"/>
        <v>0.16829767588022804</v>
      </c>
      <c r="M90" s="33">
        <f t="shared" si="27"/>
        <v>-0.16328811075612162</v>
      </c>
      <c r="N90" s="33">
        <f t="shared" si="27"/>
        <v>1.6151016890475807</v>
      </c>
      <c r="O90" s="26"/>
    </row>
    <row r="91" spans="2:15" x14ac:dyDescent="0.25">
      <c r="B91" s="37"/>
      <c r="C91" s="62"/>
      <c r="D91" s="62"/>
      <c r="E91" s="62"/>
      <c r="F91" s="62"/>
      <c r="G91" s="62"/>
      <c r="H91" s="62"/>
      <c r="I91" s="62"/>
      <c r="J91" s="62"/>
      <c r="K91" s="62"/>
      <c r="L91" s="62"/>
      <c r="M91" s="62"/>
      <c r="N91" s="62"/>
      <c r="O91" s="26"/>
    </row>
    <row r="92" spans="2:15" ht="18" x14ac:dyDescent="0.25">
      <c r="B92" s="19" t="s">
        <v>11</v>
      </c>
      <c r="C92" s="58"/>
      <c r="D92" s="58"/>
      <c r="E92" s="58"/>
      <c r="F92" s="58"/>
      <c r="G92" s="58"/>
      <c r="H92" s="58"/>
      <c r="I92" s="58"/>
      <c r="J92" s="58"/>
      <c r="K92" s="58"/>
      <c r="L92" s="58"/>
      <c r="M92" s="58"/>
      <c r="N92" s="58"/>
      <c r="O92" s="71"/>
    </row>
    <row r="93" spans="2:15" x14ac:dyDescent="0.25">
      <c r="B93" s="37" t="s">
        <v>89</v>
      </c>
      <c r="C93" s="91"/>
      <c r="D93" s="91"/>
      <c r="E93" s="91"/>
      <c r="F93" s="91"/>
      <c r="G93" s="91"/>
      <c r="H93" s="97"/>
      <c r="I93" s="91"/>
      <c r="J93" s="91"/>
      <c r="K93" s="91"/>
      <c r="L93" s="91"/>
      <c r="M93" s="91"/>
      <c r="N93" s="91"/>
      <c r="O93" s="71"/>
    </row>
    <row r="94" spans="2:15" x14ac:dyDescent="0.25">
      <c r="B94" s="37" t="s">
        <v>12</v>
      </c>
      <c r="C94" s="33"/>
      <c r="D94" s="33"/>
      <c r="E94" s="33"/>
      <c r="F94" s="33"/>
      <c r="G94" s="33"/>
      <c r="H94" s="33"/>
      <c r="I94" s="33"/>
      <c r="J94" s="33"/>
      <c r="K94" s="33"/>
      <c r="L94" s="33"/>
      <c r="M94" s="33"/>
      <c r="N94" s="33"/>
      <c r="O94" s="26"/>
    </row>
    <row r="95" spans="2:15" x14ac:dyDescent="0.25">
      <c r="B95" s="52"/>
      <c r="C95" s="63"/>
      <c r="D95" s="63"/>
      <c r="E95" s="63"/>
      <c r="F95" s="63"/>
      <c r="G95" s="63"/>
      <c r="H95" s="63"/>
      <c r="I95" s="63"/>
      <c r="J95" s="63"/>
      <c r="K95" s="63"/>
      <c r="L95" s="63"/>
      <c r="M95" s="63"/>
      <c r="N95" s="63"/>
    </row>
    <row r="96" spans="2:15" x14ac:dyDescent="0.25">
      <c r="B96" s="37" t="s">
        <v>92</v>
      </c>
      <c r="C96" s="87">
        <f t="shared" ref="C96:E96" si="28">+IFERROR(C115/-SUM(C54:C55)*365,0)</f>
        <v>0</v>
      </c>
      <c r="D96" s="87">
        <f t="shared" si="28"/>
        <v>0</v>
      </c>
      <c r="E96" s="87">
        <f t="shared" si="28"/>
        <v>25.370542827008954</v>
      </c>
      <c r="F96" s="87">
        <f t="shared" ref="F96:K96" si="29">+IFERROR(F115/-SUM(F54:F55)*365,0)</f>
        <v>37.997502873978881</v>
      </c>
      <c r="G96" s="87">
        <f t="shared" si="29"/>
        <v>27.790300906871536</v>
      </c>
      <c r="H96" s="87">
        <f t="shared" si="29"/>
        <v>56.273581496205267</v>
      </c>
      <c r="I96" s="87">
        <f t="shared" si="29"/>
        <v>41.537696640874273</v>
      </c>
      <c r="J96" s="87">
        <f t="shared" si="29"/>
        <v>40.316939233069903</v>
      </c>
      <c r="K96" s="87">
        <f t="shared" si="29"/>
        <v>43.974034876579587</v>
      </c>
      <c r="L96" s="87">
        <f>+IFERROR(L115/-SUM(L54:L55)*365,0)</f>
        <v>42.750799845304641</v>
      </c>
      <c r="M96" s="87">
        <f>+IFERROR(M115/-SUM(M54:M55)*365,0)</f>
        <v>64.686608916334109</v>
      </c>
      <c r="N96" s="87">
        <f>+IFERROR(N115/-SUM(N54:N55)*365,0)</f>
        <v>34.300171380388363</v>
      </c>
      <c r="O96" s="86"/>
    </row>
    <row r="97" spans="2:17" x14ac:dyDescent="0.25">
      <c r="B97" s="37" t="s">
        <v>64</v>
      </c>
      <c r="C97" s="87">
        <f t="shared" ref="C97:E97" si="30">+IFERROR(C117/C51*365,0)</f>
        <v>0</v>
      </c>
      <c r="D97" s="87">
        <f t="shared" si="30"/>
        <v>0</v>
      </c>
      <c r="E97" s="87">
        <f t="shared" si="30"/>
        <v>110.86717613179613</v>
      </c>
      <c r="F97" s="87">
        <f t="shared" ref="F97:K97" si="31">+IFERROR(F117/F51*365,0)</f>
        <v>77.787332515245708</v>
      </c>
      <c r="G97" s="87">
        <f t="shared" si="31"/>
        <v>45.631742278705488</v>
      </c>
      <c r="H97" s="87">
        <f t="shared" si="31"/>
        <v>63.836337215491724</v>
      </c>
      <c r="I97" s="87">
        <f t="shared" si="31"/>
        <v>62.364370371542513</v>
      </c>
      <c r="J97" s="87">
        <f t="shared" si="31"/>
        <v>45.097247588836559</v>
      </c>
      <c r="K97" s="87">
        <f t="shared" si="31"/>
        <v>64.714201621684367</v>
      </c>
      <c r="L97" s="87">
        <f>+IFERROR(L117/L51*365,0)</f>
        <v>46.004374959599936</v>
      </c>
      <c r="M97" s="87">
        <f>+IFERROR(M117/M51*365,0)</f>
        <v>41.172333283353268</v>
      </c>
      <c r="N97" s="87">
        <f>+IFERROR(N117/N51*365,0)</f>
        <v>31.074298789642068</v>
      </c>
      <c r="O97" s="86"/>
    </row>
    <row r="98" spans="2:17" x14ac:dyDescent="0.25">
      <c r="B98" s="37" t="s">
        <v>65</v>
      </c>
      <c r="C98" s="87">
        <f t="shared" ref="C98:E98" si="32">+IFERROR(C133/-SUM(C54:C55)*365,0)</f>
        <v>284.08655462184873</v>
      </c>
      <c r="D98" s="87">
        <f t="shared" si="32"/>
        <v>392.0906515580736</v>
      </c>
      <c r="E98" s="87">
        <f t="shared" si="32"/>
        <v>0.47096245764423406</v>
      </c>
      <c r="F98" s="87">
        <f t="shared" ref="F98:K98" si="33">+IFERROR(F133/-SUM(F54:F55)*365,0)</f>
        <v>0.2056322372878775</v>
      </c>
      <c r="G98" s="87">
        <f t="shared" si="33"/>
        <v>0.11555752548597481</v>
      </c>
      <c r="H98" s="87">
        <f t="shared" si="33"/>
        <v>3.4297072641850376E-2</v>
      </c>
      <c r="I98" s="87">
        <f t="shared" si="33"/>
        <v>2.5511785178141304</v>
      </c>
      <c r="J98" s="87">
        <f t="shared" si="33"/>
        <v>5.61290667665111</v>
      </c>
      <c r="K98" s="87">
        <f t="shared" si="33"/>
        <v>2.2812924558149343</v>
      </c>
      <c r="L98" s="87">
        <f>+IFERROR(L133/-SUM(L54:L55)*365,0)</f>
        <v>2.8296065815842208</v>
      </c>
      <c r="M98" s="87">
        <f>+IFERROR(M133/-SUM(M54:M55)*365,0)</f>
        <v>18.398617885299622</v>
      </c>
      <c r="N98" s="87">
        <f>+IFERROR(N133/-SUM(N54:N55)*365,0)</f>
        <v>15.712902842844491</v>
      </c>
      <c r="O98" s="86"/>
    </row>
    <row r="100" spans="2:17" s="3" customFormat="1" x14ac:dyDescent="0.25"/>
    <row r="102" spans="2:17" ht="30" x14ac:dyDescent="0.4">
      <c r="B102" s="24" t="s">
        <v>97</v>
      </c>
      <c r="C102" s="34"/>
      <c r="D102" s="34"/>
      <c r="E102" s="34"/>
      <c r="F102" s="34"/>
      <c r="G102" s="34"/>
      <c r="H102" s="34"/>
      <c r="O102" s="65"/>
    </row>
    <row r="103" spans="2:17" x14ac:dyDescent="0.25">
      <c r="I103" s="34"/>
      <c r="J103" s="34"/>
      <c r="K103" s="34"/>
      <c r="L103" s="34"/>
      <c r="M103" s="34"/>
      <c r="N103" s="34"/>
      <c r="O103" s="34"/>
    </row>
    <row r="104" spans="2:17" ht="22.5" x14ac:dyDescent="0.3">
      <c r="B104" s="17" t="s">
        <v>58</v>
      </c>
      <c r="C104" s="6">
        <v>2014</v>
      </c>
      <c r="D104" s="6">
        <v>2015</v>
      </c>
      <c r="E104" s="6">
        <v>2016</v>
      </c>
      <c r="F104" s="6">
        <v>2017</v>
      </c>
      <c r="G104" s="6">
        <v>2018</v>
      </c>
      <c r="H104" s="5">
        <v>2019</v>
      </c>
      <c r="I104" s="5">
        <v>2020</v>
      </c>
      <c r="J104" s="5">
        <v>2021</v>
      </c>
      <c r="K104" s="5">
        <v>2022</v>
      </c>
      <c r="L104" s="6">
        <v>2023</v>
      </c>
      <c r="M104" s="6">
        <v>2024</v>
      </c>
      <c r="N104" s="6">
        <v>2025</v>
      </c>
      <c r="O104" s="5" t="s">
        <v>240</v>
      </c>
    </row>
    <row r="105" spans="2:17" ht="18" x14ac:dyDescent="0.25">
      <c r="B105" s="18" t="s">
        <v>13</v>
      </c>
      <c r="C105" s="36"/>
      <c r="D105" s="36"/>
      <c r="E105" s="36"/>
      <c r="F105" s="36"/>
      <c r="G105" s="36"/>
      <c r="H105" s="36"/>
      <c r="I105" s="36"/>
      <c r="J105" s="36"/>
      <c r="K105" s="36"/>
      <c r="L105" s="36"/>
      <c r="M105" s="36"/>
      <c r="N105" s="36"/>
      <c r="O105" s="25"/>
    </row>
    <row r="106" spans="2:17" x14ac:dyDescent="0.25">
      <c r="B106" s="41" t="s">
        <v>122</v>
      </c>
      <c r="C106" s="58">
        <v>65.313999999999993</v>
      </c>
      <c r="D106" s="58">
        <v>168.42400000000001</v>
      </c>
      <c r="E106" s="58">
        <v>191.38</v>
      </c>
      <c r="F106" s="58">
        <v>199.458</v>
      </c>
      <c r="G106" s="58">
        <v>257.37599999999998</v>
      </c>
      <c r="H106" s="58">
        <v>307.815</v>
      </c>
      <c r="I106" s="58">
        <v>327.17399999999998</v>
      </c>
      <c r="J106" s="58">
        <v>333.096</v>
      </c>
      <c r="K106" s="58">
        <v>354.90800000000002</v>
      </c>
      <c r="L106" s="58">
        <v>384.73899999999998</v>
      </c>
      <c r="M106" s="58">
        <v>409.03199999999998</v>
      </c>
      <c r="N106" s="58">
        <v>447.72899999999998</v>
      </c>
      <c r="O106" s="42"/>
    </row>
    <row r="107" spans="2:17" x14ac:dyDescent="0.25">
      <c r="B107" s="79" t="s">
        <v>70</v>
      </c>
      <c r="C107" s="58">
        <v>17.655000000000001</v>
      </c>
      <c r="D107" s="58">
        <v>20.158000000000001</v>
      </c>
      <c r="E107" s="58">
        <v>59.715000000000003</v>
      </c>
      <c r="F107" s="58">
        <v>73.7</v>
      </c>
      <c r="G107" s="58">
        <v>71.950999999999993</v>
      </c>
      <c r="H107" s="58">
        <v>63.085000000000001</v>
      </c>
      <c r="I107" s="58">
        <v>59.816000000000003</v>
      </c>
      <c r="J107" s="58">
        <v>57.368000000000002</v>
      </c>
      <c r="K107" s="58">
        <v>53.83</v>
      </c>
      <c r="L107" s="58">
        <v>49.396999999999998</v>
      </c>
      <c r="M107" s="58">
        <v>70.209000000000003</v>
      </c>
      <c r="N107" s="58">
        <v>74.918999999999997</v>
      </c>
      <c r="O107" s="42"/>
    </row>
    <row r="108" spans="2:17" x14ac:dyDescent="0.25">
      <c r="B108" s="79" t="s">
        <v>123</v>
      </c>
      <c r="C108" s="58">
        <v>0</v>
      </c>
      <c r="D108" s="58">
        <v>0</v>
      </c>
      <c r="E108" s="58">
        <v>0</v>
      </c>
      <c r="F108" s="58">
        <v>0</v>
      </c>
      <c r="G108" s="58">
        <v>0</v>
      </c>
      <c r="H108" s="58">
        <v>0</v>
      </c>
      <c r="I108" s="58">
        <v>0</v>
      </c>
      <c r="J108" s="58">
        <v>0</v>
      </c>
      <c r="K108" s="58">
        <v>0</v>
      </c>
      <c r="L108" s="58">
        <v>0</v>
      </c>
      <c r="M108" s="58">
        <v>0</v>
      </c>
      <c r="N108" s="58">
        <v>0</v>
      </c>
      <c r="O108" s="42"/>
    </row>
    <row r="109" spans="2:17" x14ac:dyDescent="0.25">
      <c r="B109" s="79" t="s">
        <v>178</v>
      </c>
      <c r="C109" s="58">
        <v>0</v>
      </c>
      <c r="D109" s="58">
        <v>0.01</v>
      </c>
      <c r="E109" s="58">
        <v>0</v>
      </c>
      <c r="F109" s="58">
        <v>0</v>
      </c>
      <c r="G109" s="58">
        <v>0</v>
      </c>
      <c r="H109" s="58">
        <v>0</v>
      </c>
      <c r="I109" s="58">
        <v>0</v>
      </c>
      <c r="J109" s="58">
        <v>0</v>
      </c>
      <c r="K109" s="58">
        <v>0</v>
      </c>
      <c r="L109" s="58">
        <v>0</v>
      </c>
      <c r="M109" s="58">
        <v>0</v>
      </c>
      <c r="N109" s="58">
        <v>0</v>
      </c>
      <c r="O109" s="42"/>
    </row>
    <row r="110" spans="2:17" x14ac:dyDescent="0.25">
      <c r="B110" s="79" t="s">
        <v>232</v>
      </c>
      <c r="C110" s="58">
        <v>0</v>
      </c>
      <c r="D110" s="58">
        <v>0</v>
      </c>
      <c r="E110" s="58">
        <v>0</v>
      </c>
      <c r="F110" s="58">
        <v>0</v>
      </c>
      <c r="G110" s="58">
        <v>0</v>
      </c>
      <c r="H110" s="58">
        <v>0</v>
      </c>
      <c r="I110" s="58">
        <v>0</v>
      </c>
      <c r="J110" s="58">
        <v>0</v>
      </c>
      <c r="K110" s="58">
        <v>0</v>
      </c>
      <c r="L110" s="58">
        <v>0</v>
      </c>
      <c r="M110" s="58">
        <v>2.6269999999999998</v>
      </c>
      <c r="N110" s="58">
        <v>9.7249999999999996</v>
      </c>
      <c r="O110" s="42"/>
    </row>
    <row r="111" spans="2:17" x14ac:dyDescent="0.25">
      <c r="B111" s="79" t="s">
        <v>124</v>
      </c>
      <c r="C111" s="58">
        <v>0</v>
      </c>
      <c r="D111" s="58">
        <v>0</v>
      </c>
      <c r="E111" s="58">
        <v>0.20599999999999999</v>
      </c>
      <c r="F111" s="58">
        <v>0.21199999999999999</v>
      </c>
      <c r="G111" s="58">
        <v>0.249</v>
      </c>
      <c r="H111" s="58">
        <v>0.5</v>
      </c>
      <c r="I111" s="58">
        <v>2.7149999999999999</v>
      </c>
      <c r="J111" s="58">
        <v>5.33</v>
      </c>
      <c r="K111" s="58">
        <v>16.361999999999998</v>
      </c>
      <c r="L111" s="58">
        <v>26.702000000000002</v>
      </c>
      <c r="M111" s="58">
        <v>33.252000000000002</v>
      </c>
      <c r="N111" s="58">
        <v>1.1220000000000001</v>
      </c>
      <c r="O111" s="42"/>
    </row>
    <row r="112" spans="2:17" x14ac:dyDescent="0.25">
      <c r="B112" s="79" t="s">
        <v>125</v>
      </c>
      <c r="C112" s="58">
        <v>0</v>
      </c>
      <c r="D112" s="58">
        <v>0</v>
      </c>
      <c r="E112" s="58">
        <v>0</v>
      </c>
      <c r="F112" s="58">
        <v>0</v>
      </c>
      <c r="G112" s="58">
        <v>0</v>
      </c>
      <c r="H112" s="58">
        <v>1.101</v>
      </c>
      <c r="I112" s="58">
        <v>1.101</v>
      </c>
      <c r="J112" s="58">
        <v>1.101</v>
      </c>
      <c r="K112" s="58">
        <v>1.101</v>
      </c>
      <c r="L112" s="58">
        <v>1.101</v>
      </c>
      <c r="M112" s="58">
        <v>1.101</v>
      </c>
      <c r="N112" s="58">
        <v>1.101</v>
      </c>
      <c r="O112" s="42"/>
      <c r="P112" s="92"/>
      <c r="Q112" s="92"/>
    </row>
    <row r="113" spans="2:17" x14ac:dyDescent="0.25">
      <c r="B113" s="79" t="s">
        <v>126</v>
      </c>
      <c r="C113" s="58">
        <v>0</v>
      </c>
      <c r="D113" s="58">
        <v>0</v>
      </c>
      <c r="E113" s="58">
        <v>12.196</v>
      </c>
      <c r="F113" s="58">
        <v>10.130000000000001</v>
      </c>
      <c r="G113" s="58">
        <v>7.9269999999999996</v>
      </c>
      <c r="H113" s="58">
        <v>6.5759999999999996</v>
      </c>
      <c r="I113" s="58">
        <v>8.8049999999999997</v>
      </c>
      <c r="J113" s="58">
        <v>5.5640000000000001</v>
      </c>
      <c r="K113" s="58">
        <v>7.2930000000000001</v>
      </c>
      <c r="L113" s="58">
        <v>11.282</v>
      </c>
      <c r="M113" s="58">
        <v>15.085000000000001</v>
      </c>
      <c r="N113" s="58">
        <v>15.84</v>
      </c>
      <c r="O113" s="42"/>
      <c r="P113" s="93"/>
      <c r="Q113" s="93"/>
    </row>
    <row r="114" spans="2:17" ht="18" x14ac:dyDescent="0.25">
      <c r="B114" s="18" t="s">
        <v>14</v>
      </c>
      <c r="C114" s="36">
        <f t="shared" ref="C114:K114" si="34">+SUM(C106:C113)</f>
        <v>82.968999999999994</v>
      </c>
      <c r="D114" s="36">
        <f t="shared" si="34"/>
        <v>188.59199999999998</v>
      </c>
      <c r="E114" s="36">
        <f t="shared" si="34"/>
        <v>263.49700000000001</v>
      </c>
      <c r="F114" s="36">
        <f t="shared" si="34"/>
        <v>283.5</v>
      </c>
      <c r="G114" s="36">
        <f t="shared" si="34"/>
        <v>337.50300000000004</v>
      </c>
      <c r="H114" s="36">
        <f t="shared" si="34"/>
        <v>379.077</v>
      </c>
      <c r="I114" s="36">
        <f t="shared" si="34"/>
        <v>399.61099999999999</v>
      </c>
      <c r="J114" s="36">
        <f t="shared" si="34"/>
        <v>402.459</v>
      </c>
      <c r="K114" s="36">
        <f t="shared" si="34"/>
        <v>433.49400000000003</v>
      </c>
      <c r="L114" s="36">
        <f>+SUM(L106:L113)</f>
        <v>473.22099999999995</v>
      </c>
      <c r="M114" s="36">
        <f>+SUM(M106:M113)</f>
        <v>531.30600000000004</v>
      </c>
      <c r="N114" s="36">
        <f>+SUM(N106:N113)</f>
        <v>550.43600000000004</v>
      </c>
      <c r="O114" s="67"/>
      <c r="P114" s="94"/>
    </row>
    <row r="115" spans="2:17" x14ac:dyDescent="0.25">
      <c r="B115" s="41" t="s">
        <v>127</v>
      </c>
      <c r="C115" s="58">
        <v>0</v>
      </c>
      <c r="D115" s="58">
        <v>0</v>
      </c>
      <c r="E115" s="58">
        <v>6.1950000000000003</v>
      </c>
      <c r="F115" s="58">
        <v>13.673999999999999</v>
      </c>
      <c r="G115" s="58">
        <v>10.821999999999999</v>
      </c>
      <c r="H115" s="58">
        <v>21.33</v>
      </c>
      <c r="I115" s="58">
        <v>23.576000000000001</v>
      </c>
      <c r="J115" s="58">
        <v>24.780999999999999</v>
      </c>
      <c r="K115" s="58">
        <v>38.841000000000001</v>
      </c>
      <c r="L115" s="58">
        <v>33.314</v>
      </c>
      <c r="M115" s="58">
        <v>49.161999999999999</v>
      </c>
      <c r="N115" s="58">
        <v>30.870999999999999</v>
      </c>
      <c r="O115" s="42"/>
      <c r="P115" s="94"/>
    </row>
    <row r="116" spans="2:17" x14ac:dyDescent="0.25">
      <c r="B116" s="41" t="s">
        <v>232</v>
      </c>
      <c r="C116" s="58">
        <v>0</v>
      </c>
      <c r="D116" s="58">
        <v>0</v>
      </c>
      <c r="E116" s="58">
        <v>0</v>
      </c>
      <c r="F116" s="58">
        <v>0</v>
      </c>
      <c r="G116" s="58">
        <v>0</v>
      </c>
      <c r="H116" s="58">
        <v>0</v>
      </c>
      <c r="I116" s="58">
        <v>0</v>
      </c>
      <c r="J116" s="58">
        <v>0</v>
      </c>
      <c r="K116" s="58">
        <v>0</v>
      </c>
      <c r="L116" s="58">
        <v>0</v>
      </c>
      <c r="M116" s="58">
        <v>5.3520000000000003</v>
      </c>
      <c r="N116" s="58">
        <v>0.02</v>
      </c>
      <c r="O116" s="42"/>
      <c r="P116" s="94"/>
    </row>
    <row r="117" spans="2:17" x14ac:dyDescent="0.25">
      <c r="B117" s="41" t="s">
        <v>124</v>
      </c>
      <c r="C117" s="58">
        <v>2.226</v>
      </c>
      <c r="D117" s="58">
        <v>16.632000000000001</v>
      </c>
      <c r="E117" s="58">
        <v>29.85</v>
      </c>
      <c r="F117" s="58">
        <v>34.213000000000001</v>
      </c>
      <c r="G117" s="58">
        <v>23.687999999999999</v>
      </c>
      <c r="H117" s="58">
        <v>32.856999999999999</v>
      </c>
      <c r="I117" s="58">
        <v>43.191000000000003</v>
      </c>
      <c r="J117" s="58">
        <v>50.128</v>
      </c>
      <c r="K117" s="58">
        <v>64.155000000000001</v>
      </c>
      <c r="L117" s="58">
        <v>42.896999999999998</v>
      </c>
      <c r="M117" s="58">
        <v>36.863</v>
      </c>
      <c r="N117" s="58">
        <v>41.113</v>
      </c>
      <c r="O117" s="42"/>
      <c r="P117" s="94"/>
    </row>
    <row r="118" spans="2:17" x14ac:dyDescent="0.25">
      <c r="B118" s="41" t="s">
        <v>172</v>
      </c>
      <c r="C118" s="58">
        <v>0.98399999999999999</v>
      </c>
      <c r="D118" s="58">
        <v>0.30199999999999999</v>
      </c>
      <c r="E118" s="58">
        <v>0.26100000000000001</v>
      </c>
      <c r="F118" s="58">
        <v>0.129</v>
      </c>
      <c r="G118" s="58">
        <v>0</v>
      </c>
      <c r="H118" s="58">
        <v>0</v>
      </c>
      <c r="I118" s="58">
        <v>0</v>
      </c>
      <c r="J118" s="58">
        <v>0</v>
      </c>
      <c r="K118" s="58">
        <v>0</v>
      </c>
      <c r="L118" s="58">
        <v>0</v>
      </c>
      <c r="M118" s="58">
        <v>0</v>
      </c>
      <c r="N118" s="58">
        <v>0</v>
      </c>
      <c r="O118" s="42"/>
      <c r="P118" s="94"/>
    </row>
    <row r="119" spans="2:17" x14ac:dyDescent="0.25">
      <c r="B119" s="79" t="s">
        <v>128</v>
      </c>
      <c r="C119" s="58">
        <v>0</v>
      </c>
      <c r="D119" s="58">
        <v>0</v>
      </c>
      <c r="E119" s="58">
        <v>0</v>
      </c>
      <c r="F119" s="58">
        <v>0</v>
      </c>
      <c r="G119" s="58">
        <v>0</v>
      </c>
      <c r="H119" s="58">
        <v>1.9239999999999999</v>
      </c>
      <c r="I119" s="58">
        <v>0.81499999999999995</v>
      </c>
      <c r="J119" s="58">
        <v>0.48299999999999998</v>
      </c>
      <c r="K119" s="58">
        <v>0.1</v>
      </c>
      <c r="L119" s="58">
        <v>0.1</v>
      </c>
      <c r="M119" s="58">
        <v>0.26600000000000001</v>
      </c>
      <c r="N119" s="58">
        <v>2.8340000000000001</v>
      </c>
      <c r="O119" s="42"/>
    </row>
    <row r="120" spans="2:17" x14ac:dyDescent="0.25">
      <c r="B120" s="79" t="s">
        <v>129</v>
      </c>
      <c r="C120" s="58">
        <v>0</v>
      </c>
      <c r="D120" s="58">
        <v>0</v>
      </c>
      <c r="E120" s="58">
        <v>0</v>
      </c>
      <c r="F120" s="58">
        <v>0</v>
      </c>
      <c r="G120" s="58">
        <v>7.0999999999999994E-2</v>
      </c>
      <c r="H120" s="58">
        <v>4.2000000000000003E-2</v>
      </c>
      <c r="I120" s="58">
        <v>8.5999999999999993E-2</v>
      </c>
      <c r="J120" s="58">
        <v>3.9E-2</v>
      </c>
      <c r="K120" s="58">
        <v>3.3000000000000002E-2</v>
      </c>
      <c r="L120" s="58">
        <v>0.03</v>
      </c>
      <c r="M120" s="58">
        <v>2.3E-2</v>
      </c>
      <c r="N120" s="58">
        <v>6.2E-2</v>
      </c>
      <c r="O120" s="42"/>
    </row>
    <row r="121" spans="2:17" x14ac:dyDescent="0.25">
      <c r="B121" s="41" t="s">
        <v>66</v>
      </c>
      <c r="C121" s="58">
        <v>21.05</v>
      </c>
      <c r="D121" s="58">
        <v>18.617999999999999</v>
      </c>
      <c r="E121" s="58">
        <v>1.135</v>
      </c>
      <c r="F121" s="58">
        <v>42.856000000000002</v>
      </c>
      <c r="G121" s="58">
        <v>33.07</v>
      </c>
      <c r="H121" s="58">
        <v>8.077</v>
      </c>
      <c r="I121" s="58">
        <v>37.767000000000003</v>
      </c>
      <c r="J121" s="58">
        <v>107.517</v>
      </c>
      <c r="K121" s="58">
        <v>126.44799999999999</v>
      </c>
      <c r="L121" s="58">
        <v>121.00700000000001</v>
      </c>
      <c r="M121" s="58">
        <v>52.878</v>
      </c>
      <c r="N121" s="58">
        <v>166.30600000000001</v>
      </c>
      <c r="O121" s="42"/>
    </row>
    <row r="122" spans="2:17" ht="18" x14ac:dyDescent="0.25">
      <c r="B122" s="18" t="s">
        <v>16</v>
      </c>
      <c r="C122" s="36">
        <f t="shared" ref="C122:K122" si="35">+SUM(C115:C121)</f>
        <v>24.26</v>
      </c>
      <c r="D122" s="36">
        <f t="shared" si="35"/>
        <v>35.552</v>
      </c>
      <c r="E122" s="36">
        <f t="shared" si="35"/>
        <v>37.441000000000003</v>
      </c>
      <c r="F122" s="36">
        <f t="shared" si="35"/>
        <v>90.872</v>
      </c>
      <c r="G122" s="36">
        <f t="shared" si="35"/>
        <v>67.650999999999996</v>
      </c>
      <c r="H122" s="36">
        <f t="shared" si="35"/>
        <v>64.23</v>
      </c>
      <c r="I122" s="36">
        <f t="shared" si="35"/>
        <v>105.435</v>
      </c>
      <c r="J122" s="36">
        <f t="shared" si="35"/>
        <v>182.94799999999998</v>
      </c>
      <c r="K122" s="36">
        <f t="shared" si="35"/>
        <v>229.577</v>
      </c>
      <c r="L122" s="36">
        <f>+SUM(L115:L121)</f>
        <v>197.34800000000001</v>
      </c>
      <c r="M122" s="36">
        <f>+SUM(M115:M121)</f>
        <v>144.54399999999998</v>
      </c>
      <c r="N122" s="36">
        <f>+SUM(N115:N121)</f>
        <v>241.20600000000002</v>
      </c>
      <c r="O122" s="68"/>
    </row>
    <row r="123" spans="2:17" ht="18" x14ac:dyDescent="0.25">
      <c r="B123" s="18" t="s">
        <v>17</v>
      </c>
      <c r="C123" s="36">
        <f t="shared" ref="C123:K123" si="36">+SUM(C114,C122)</f>
        <v>107.229</v>
      </c>
      <c r="D123" s="36">
        <f t="shared" si="36"/>
        <v>224.14399999999998</v>
      </c>
      <c r="E123" s="36">
        <f t="shared" si="36"/>
        <v>300.93799999999999</v>
      </c>
      <c r="F123" s="36">
        <f t="shared" si="36"/>
        <v>374.37200000000001</v>
      </c>
      <c r="G123" s="36">
        <f t="shared" si="36"/>
        <v>405.15400000000005</v>
      </c>
      <c r="H123" s="36">
        <f t="shared" si="36"/>
        <v>443.30700000000002</v>
      </c>
      <c r="I123" s="36">
        <f t="shared" si="36"/>
        <v>505.04599999999999</v>
      </c>
      <c r="J123" s="36">
        <f t="shared" si="36"/>
        <v>585.40699999999993</v>
      </c>
      <c r="K123" s="36">
        <f t="shared" si="36"/>
        <v>663.07100000000003</v>
      </c>
      <c r="L123" s="36">
        <f>+SUM(L114,L122)</f>
        <v>670.56899999999996</v>
      </c>
      <c r="M123" s="36">
        <f>+SUM(M114,M122)</f>
        <v>675.85</v>
      </c>
      <c r="N123" s="36">
        <f>+SUM(N114,N122)</f>
        <v>791.64200000000005</v>
      </c>
      <c r="O123" s="68"/>
    </row>
    <row r="124" spans="2:17" ht="18.75" x14ac:dyDescent="0.4">
      <c r="B124" s="2"/>
      <c r="C124" s="2"/>
      <c r="D124" s="2"/>
      <c r="E124" s="2"/>
      <c r="F124" s="2"/>
      <c r="G124" s="2"/>
      <c r="H124" s="2"/>
      <c r="I124" s="2"/>
      <c r="J124" s="2"/>
      <c r="K124" s="2"/>
      <c r="L124" s="2"/>
      <c r="M124" s="2"/>
      <c r="N124" s="2"/>
      <c r="O124" s="2"/>
    </row>
    <row r="125" spans="2:17" ht="18" x14ac:dyDescent="0.25">
      <c r="B125" s="18" t="s">
        <v>18</v>
      </c>
      <c r="C125" s="32"/>
      <c r="D125" s="32"/>
      <c r="E125" s="32"/>
      <c r="F125" s="32"/>
      <c r="G125" s="32"/>
      <c r="H125" s="32"/>
      <c r="I125" s="32"/>
      <c r="J125" s="32"/>
      <c r="K125" s="32"/>
      <c r="L125" s="32"/>
      <c r="M125" s="32"/>
      <c r="N125" s="32"/>
      <c r="O125" s="25"/>
    </row>
    <row r="126" spans="2:17" x14ac:dyDescent="0.25">
      <c r="B126" s="41" t="s">
        <v>67</v>
      </c>
      <c r="C126" s="58">
        <v>4.4089999999999998</v>
      </c>
      <c r="D126" s="58">
        <v>11.632</v>
      </c>
      <c r="E126" s="58">
        <v>11.632</v>
      </c>
      <c r="F126" s="58">
        <v>13.192</v>
      </c>
      <c r="G126" s="58">
        <v>13.372</v>
      </c>
      <c r="H126" s="58">
        <v>13.372</v>
      </c>
      <c r="I126" s="58">
        <v>13.439</v>
      </c>
      <c r="J126" s="58">
        <v>13.446999999999999</v>
      </c>
      <c r="K126" s="58">
        <v>13.596</v>
      </c>
      <c r="L126" s="58">
        <v>13.596</v>
      </c>
      <c r="M126" s="58">
        <v>12.667999999999999</v>
      </c>
      <c r="N126" s="58">
        <v>12.667999999999999</v>
      </c>
      <c r="O126" s="25"/>
    </row>
    <row r="127" spans="2:17" x14ac:dyDescent="0.25">
      <c r="B127" s="41" t="s">
        <v>68</v>
      </c>
      <c r="C127" s="58">
        <v>149.82300000000001</v>
      </c>
      <c r="D127" s="58">
        <v>277.238</v>
      </c>
      <c r="E127" s="58">
        <v>277.238</v>
      </c>
      <c r="F127" s="58">
        <v>309.577</v>
      </c>
      <c r="G127" s="58">
        <v>314.31900000000002</v>
      </c>
      <c r="H127" s="58">
        <v>314.31900000000002</v>
      </c>
      <c r="I127" s="58">
        <v>315.714</v>
      </c>
      <c r="J127" s="58">
        <v>315.916</v>
      </c>
      <c r="K127" s="58">
        <v>319.411</v>
      </c>
      <c r="L127" s="58">
        <v>319.411</v>
      </c>
      <c r="M127" s="58">
        <v>321.85599999999999</v>
      </c>
      <c r="N127" s="58">
        <v>321.85599999999999</v>
      </c>
      <c r="O127" s="25"/>
    </row>
    <row r="128" spans="2:17" x14ac:dyDescent="0.25">
      <c r="B128" s="41" t="s">
        <v>69</v>
      </c>
      <c r="C128" s="58">
        <v>5.8150000000000004</v>
      </c>
      <c r="D128" s="58">
        <v>5.508</v>
      </c>
      <c r="E128" s="58">
        <v>5.6669999999999998</v>
      </c>
      <c r="F128" s="58">
        <v>6.1369999999999996</v>
      </c>
      <c r="G128" s="58">
        <v>12.791</v>
      </c>
      <c r="H128" s="58">
        <v>22.835999999999999</v>
      </c>
      <c r="I128" s="58">
        <v>40.048999999999999</v>
      </c>
      <c r="J128" s="58">
        <v>52.69</v>
      </c>
      <c r="K128" s="58">
        <v>69.805000000000007</v>
      </c>
      <c r="L128" s="58">
        <v>70.462999999999994</v>
      </c>
      <c r="M128" s="58">
        <v>88.774000000000001</v>
      </c>
      <c r="N128" s="58">
        <v>89.254999999999995</v>
      </c>
      <c r="O128" s="25"/>
    </row>
    <row r="129" spans="2:15" x14ac:dyDescent="0.25">
      <c r="B129" s="41" t="s">
        <v>130</v>
      </c>
      <c r="C129" s="58">
        <v>-103.002</v>
      </c>
      <c r="D129" s="58">
        <v>-118.012</v>
      </c>
      <c r="E129" s="58">
        <v>-105.97499999999999</v>
      </c>
      <c r="F129" s="58">
        <v>-86.527000000000001</v>
      </c>
      <c r="G129" s="58">
        <v>-58.308</v>
      </c>
      <c r="H129" s="58">
        <v>-30.669</v>
      </c>
      <c r="I129" s="58">
        <v>-15.512</v>
      </c>
      <c r="J129" s="58">
        <v>58.753999999999998</v>
      </c>
      <c r="K129" s="58">
        <v>70.483000000000004</v>
      </c>
      <c r="L129" s="58">
        <v>98.025999999999996</v>
      </c>
      <c r="M129" s="58">
        <v>93.084999999999994</v>
      </c>
      <c r="N129" s="58">
        <v>166.09100000000001</v>
      </c>
      <c r="O129" s="25"/>
    </row>
    <row r="130" spans="2:15" ht="18" x14ac:dyDescent="0.25">
      <c r="B130" s="18" t="s">
        <v>50</v>
      </c>
      <c r="C130" s="60">
        <f t="shared" ref="C130:K130" si="37">+SUM(C126:C129)</f>
        <v>57.045000000000002</v>
      </c>
      <c r="D130" s="60">
        <f t="shared" si="37"/>
        <v>176.36599999999999</v>
      </c>
      <c r="E130" s="60">
        <f t="shared" si="37"/>
        <v>188.56199999999998</v>
      </c>
      <c r="F130" s="60">
        <f t="shared" si="37"/>
        <v>242.37900000000002</v>
      </c>
      <c r="G130" s="60">
        <f t="shared" si="37"/>
        <v>282.17400000000004</v>
      </c>
      <c r="H130" s="60">
        <f t="shared" si="37"/>
        <v>319.85800000000006</v>
      </c>
      <c r="I130" s="60">
        <f t="shared" si="37"/>
        <v>353.69</v>
      </c>
      <c r="J130" s="60">
        <f t="shared" si="37"/>
        <v>440.80700000000002</v>
      </c>
      <c r="K130" s="60">
        <f t="shared" si="37"/>
        <v>473.29500000000002</v>
      </c>
      <c r="L130" s="60">
        <f>+SUM(L126:L129)</f>
        <v>501.49600000000004</v>
      </c>
      <c r="M130" s="60">
        <f>+SUM(M126:M129)</f>
        <v>516.38300000000004</v>
      </c>
      <c r="N130" s="60">
        <f>+SUM(N126:N129)</f>
        <v>589.87</v>
      </c>
      <c r="O130" s="69"/>
    </row>
    <row r="131" spans="2:15" x14ac:dyDescent="0.25">
      <c r="B131" s="41" t="s">
        <v>54</v>
      </c>
      <c r="C131" s="58">
        <v>-0.11600000000000001</v>
      </c>
      <c r="D131" s="58">
        <v>0</v>
      </c>
      <c r="E131" s="58">
        <v>0</v>
      </c>
      <c r="F131" s="58">
        <v>4.4740000000000002</v>
      </c>
      <c r="G131" s="58">
        <v>4.2</v>
      </c>
      <c r="H131" s="58">
        <v>-2.4020000000000001</v>
      </c>
      <c r="I131" s="58">
        <v>-3.4910000000000001</v>
      </c>
      <c r="J131" s="58">
        <v>-4.9089999999999998</v>
      </c>
      <c r="K131" s="58">
        <v>-6.9980000000000002</v>
      </c>
      <c r="L131" s="58">
        <v>-9.1039999999999992</v>
      </c>
      <c r="M131" s="58">
        <v>2.1539999999999999</v>
      </c>
      <c r="N131" s="58">
        <v>1.94</v>
      </c>
      <c r="O131" s="42"/>
    </row>
    <row r="132" spans="2:15" ht="18" x14ac:dyDescent="0.25">
      <c r="B132" s="18" t="s">
        <v>19</v>
      </c>
      <c r="C132" s="60">
        <f t="shared" ref="C132:K132" si="38">+SUM(C130:C131)</f>
        <v>56.929000000000002</v>
      </c>
      <c r="D132" s="60">
        <f t="shared" si="38"/>
        <v>176.36599999999999</v>
      </c>
      <c r="E132" s="60">
        <f t="shared" si="38"/>
        <v>188.56199999999998</v>
      </c>
      <c r="F132" s="60">
        <f t="shared" si="38"/>
        <v>246.85300000000001</v>
      </c>
      <c r="G132" s="60">
        <f t="shared" si="38"/>
        <v>286.37400000000002</v>
      </c>
      <c r="H132" s="60">
        <f t="shared" si="38"/>
        <v>317.45600000000007</v>
      </c>
      <c r="I132" s="60">
        <f t="shared" si="38"/>
        <v>350.19900000000001</v>
      </c>
      <c r="J132" s="60">
        <f t="shared" si="38"/>
        <v>435.89800000000002</v>
      </c>
      <c r="K132" s="60">
        <f t="shared" si="38"/>
        <v>466.29700000000003</v>
      </c>
      <c r="L132" s="60">
        <f>+SUM(L130:L131)</f>
        <v>492.39200000000005</v>
      </c>
      <c r="M132" s="60">
        <f>+SUM(M130:M131)</f>
        <v>518.53700000000003</v>
      </c>
      <c r="N132" s="60">
        <f>+SUM(N130:N131)</f>
        <v>591.81000000000006</v>
      </c>
      <c r="O132" s="69"/>
    </row>
    <row r="133" spans="2:15" x14ac:dyDescent="0.25">
      <c r="B133" s="41" t="s">
        <v>131</v>
      </c>
      <c r="C133" s="58">
        <v>4.6310000000000002</v>
      </c>
      <c r="D133" s="58">
        <v>1.8959999999999999</v>
      </c>
      <c r="E133" s="58">
        <v>0.115</v>
      </c>
      <c r="F133" s="58">
        <v>7.3999999999999996E-2</v>
      </c>
      <c r="G133" s="58">
        <v>4.4999999999999998E-2</v>
      </c>
      <c r="H133" s="58">
        <v>1.2999999999999999E-2</v>
      </c>
      <c r="I133" s="58">
        <v>1.448</v>
      </c>
      <c r="J133" s="58">
        <v>3.45</v>
      </c>
      <c r="K133" s="58">
        <v>2.0150000000000001</v>
      </c>
      <c r="L133" s="58">
        <v>2.2050000000000001</v>
      </c>
      <c r="M133" s="58">
        <v>13.983000000000001</v>
      </c>
      <c r="N133" s="58">
        <v>14.141999999999999</v>
      </c>
      <c r="O133" s="42"/>
    </row>
    <row r="134" spans="2:15" x14ac:dyDescent="0.25">
      <c r="B134" s="41" t="s">
        <v>132</v>
      </c>
      <c r="C134" s="58">
        <v>0</v>
      </c>
      <c r="D134" s="58">
        <v>3.9710000000000001</v>
      </c>
      <c r="E134" s="58">
        <v>5.0919999999999996</v>
      </c>
      <c r="F134" s="58">
        <v>5.7270000000000003</v>
      </c>
      <c r="G134" s="58">
        <v>6.5190000000000001</v>
      </c>
      <c r="H134" s="58">
        <v>6.9409999999999998</v>
      </c>
      <c r="I134" s="58">
        <v>25.263999999999999</v>
      </c>
      <c r="J134" s="58">
        <v>26.577999999999999</v>
      </c>
      <c r="K134" s="58">
        <v>24.082999999999998</v>
      </c>
      <c r="L134" s="58">
        <v>27.234000000000002</v>
      </c>
      <c r="M134" s="58">
        <v>29.327999999999999</v>
      </c>
      <c r="N134" s="58">
        <v>28.763999999999999</v>
      </c>
      <c r="O134" s="42"/>
    </row>
    <row r="135" spans="2:15" x14ac:dyDescent="0.25">
      <c r="B135" s="41" t="s">
        <v>133</v>
      </c>
      <c r="C135" s="58">
        <v>0</v>
      </c>
      <c r="D135" s="58">
        <v>0</v>
      </c>
      <c r="E135" s="58">
        <v>0</v>
      </c>
      <c r="F135" s="58">
        <v>0</v>
      </c>
      <c r="G135" s="58">
        <v>0</v>
      </c>
      <c r="H135" s="58">
        <v>5.2649999999999997</v>
      </c>
      <c r="I135" s="58">
        <v>4.7960000000000003</v>
      </c>
      <c r="J135" s="58">
        <v>4.9130000000000003</v>
      </c>
      <c r="K135" s="58">
        <v>4.3780000000000001</v>
      </c>
      <c r="L135" s="58">
        <v>3.8769999999999998</v>
      </c>
      <c r="M135" s="58">
        <v>3.32</v>
      </c>
      <c r="N135" s="58">
        <v>3.8340000000000001</v>
      </c>
      <c r="O135" s="42"/>
    </row>
    <row r="136" spans="2:15" x14ac:dyDescent="0.25">
      <c r="B136" s="41" t="s">
        <v>161</v>
      </c>
      <c r="C136" s="58">
        <v>0</v>
      </c>
      <c r="D136" s="58">
        <v>0</v>
      </c>
      <c r="E136" s="58">
        <v>44.345999999999997</v>
      </c>
      <c r="F136" s="58">
        <v>52.982999999999997</v>
      </c>
      <c r="G136" s="58">
        <v>53</v>
      </c>
      <c r="H136" s="58">
        <v>53</v>
      </c>
      <c r="I136" s="58">
        <v>0</v>
      </c>
      <c r="J136" s="58">
        <v>0</v>
      </c>
      <c r="K136" s="58">
        <v>0</v>
      </c>
      <c r="L136" s="58">
        <v>0</v>
      </c>
      <c r="M136" s="58">
        <v>0</v>
      </c>
      <c r="N136" s="58">
        <v>0</v>
      </c>
      <c r="O136" s="42"/>
    </row>
    <row r="137" spans="2:15" x14ac:dyDescent="0.25">
      <c r="B137" s="41" t="s">
        <v>134</v>
      </c>
      <c r="C137" s="58">
        <v>0</v>
      </c>
      <c r="D137" s="58">
        <v>0</v>
      </c>
      <c r="E137" s="58">
        <v>0</v>
      </c>
      <c r="F137" s="58">
        <v>0</v>
      </c>
      <c r="G137" s="58">
        <v>0</v>
      </c>
      <c r="H137" s="58">
        <v>0</v>
      </c>
      <c r="I137" s="58">
        <v>0</v>
      </c>
      <c r="J137" s="58">
        <v>34.049999999999997</v>
      </c>
      <c r="K137" s="58">
        <v>20.768000000000001</v>
      </c>
      <c r="L137" s="58">
        <v>16.131</v>
      </c>
      <c r="M137" s="58">
        <v>10.866</v>
      </c>
      <c r="N137" s="58">
        <v>5.7080000000000002</v>
      </c>
      <c r="O137" s="42"/>
    </row>
    <row r="138" spans="2:15" ht="18" x14ac:dyDescent="0.25">
      <c r="B138" s="18" t="s">
        <v>20</v>
      </c>
      <c r="C138" s="60">
        <f t="shared" ref="C138:K138" si="39">+SUM(C133:C137)</f>
        <v>4.6310000000000002</v>
      </c>
      <c r="D138" s="60">
        <f t="shared" si="39"/>
        <v>5.867</v>
      </c>
      <c r="E138" s="60">
        <f t="shared" si="39"/>
        <v>49.552999999999997</v>
      </c>
      <c r="F138" s="60">
        <f t="shared" si="39"/>
        <v>58.783999999999999</v>
      </c>
      <c r="G138" s="60">
        <f t="shared" si="39"/>
        <v>59.564</v>
      </c>
      <c r="H138" s="60">
        <f t="shared" si="39"/>
        <v>65.218999999999994</v>
      </c>
      <c r="I138" s="60">
        <f t="shared" si="39"/>
        <v>31.507999999999999</v>
      </c>
      <c r="J138" s="60">
        <f t="shared" si="39"/>
        <v>68.991</v>
      </c>
      <c r="K138" s="60">
        <f t="shared" si="39"/>
        <v>51.244</v>
      </c>
      <c r="L138" s="60">
        <f>+SUM(L133:L137)</f>
        <v>49.447000000000003</v>
      </c>
      <c r="M138" s="60">
        <f>+SUM(M133:M137)</f>
        <v>57.497</v>
      </c>
      <c r="N138" s="60">
        <f>+SUM(N133:N137)</f>
        <v>52.448</v>
      </c>
      <c r="O138" s="70"/>
    </row>
    <row r="139" spans="2:15" x14ac:dyDescent="0.25">
      <c r="B139" s="41" t="s">
        <v>131</v>
      </c>
      <c r="C139" s="58">
        <v>13.04</v>
      </c>
      <c r="D139" s="58">
        <v>41.911000000000001</v>
      </c>
      <c r="E139" s="58">
        <v>62.607999999999997</v>
      </c>
      <c r="F139" s="58">
        <v>67.983000000000004</v>
      </c>
      <c r="G139" s="58">
        <v>57.271000000000001</v>
      </c>
      <c r="H139" s="58">
        <v>57.536999999999999</v>
      </c>
      <c r="I139" s="58">
        <v>68.436999999999998</v>
      </c>
      <c r="J139" s="58">
        <v>66.191000000000003</v>
      </c>
      <c r="K139" s="58">
        <v>90.022000000000006</v>
      </c>
      <c r="L139" s="58">
        <v>75.921999999999997</v>
      </c>
      <c r="M139" s="58">
        <v>90.09</v>
      </c>
      <c r="N139" s="58">
        <v>106.117</v>
      </c>
      <c r="O139" s="42"/>
    </row>
    <row r="140" spans="2:15" x14ac:dyDescent="0.25">
      <c r="B140" s="41" t="s">
        <v>192</v>
      </c>
      <c r="C140" s="58">
        <v>13.952</v>
      </c>
      <c r="D140" s="58">
        <v>0</v>
      </c>
      <c r="E140" s="58">
        <v>0</v>
      </c>
      <c r="F140" s="58">
        <v>0</v>
      </c>
      <c r="G140" s="58">
        <v>0</v>
      </c>
      <c r="H140" s="58">
        <v>0</v>
      </c>
      <c r="I140" s="58">
        <v>0</v>
      </c>
      <c r="J140" s="58">
        <v>0</v>
      </c>
      <c r="K140" s="58">
        <v>0</v>
      </c>
      <c r="L140" s="58">
        <v>0</v>
      </c>
      <c r="M140" s="58">
        <v>0</v>
      </c>
      <c r="N140" s="58">
        <v>0</v>
      </c>
      <c r="O140" s="42"/>
    </row>
    <row r="141" spans="2:15" x14ac:dyDescent="0.25">
      <c r="B141" s="41" t="s">
        <v>193</v>
      </c>
      <c r="C141" s="58">
        <v>0.13</v>
      </c>
      <c r="D141" s="58">
        <v>0</v>
      </c>
      <c r="E141" s="58">
        <v>0</v>
      </c>
      <c r="F141" s="58">
        <v>0</v>
      </c>
      <c r="G141" s="58">
        <v>0</v>
      </c>
      <c r="H141" s="58">
        <v>0</v>
      </c>
      <c r="I141" s="58">
        <v>0</v>
      </c>
      <c r="J141" s="58">
        <v>0</v>
      </c>
      <c r="K141" s="58">
        <v>0</v>
      </c>
      <c r="L141" s="58">
        <v>0</v>
      </c>
      <c r="M141" s="58">
        <v>0</v>
      </c>
      <c r="N141" s="58">
        <v>0</v>
      </c>
      <c r="O141" s="42"/>
    </row>
    <row r="142" spans="2:15" x14ac:dyDescent="0.25">
      <c r="B142" s="41" t="s">
        <v>194</v>
      </c>
      <c r="C142" s="58">
        <v>18.547000000000001</v>
      </c>
      <c r="D142" s="58">
        <v>0</v>
      </c>
      <c r="E142" s="58">
        <v>0</v>
      </c>
      <c r="F142" s="58">
        <v>0</v>
      </c>
      <c r="G142" s="58">
        <v>0</v>
      </c>
      <c r="H142" s="58">
        <v>0</v>
      </c>
      <c r="I142" s="58">
        <v>0</v>
      </c>
      <c r="J142" s="58">
        <v>0</v>
      </c>
      <c r="K142" s="58">
        <v>0</v>
      </c>
      <c r="L142" s="58">
        <v>0</v>
      </c>
      <c r="M142" s="58">
        <v>0</v>
      </c>
      <c r="N142" s="58">
        <v>0</v>
      </c>
      <c r="O142" s="42"/>
    </row>
    <row r="143" spans="2:15" x14ac:dyDescent="0.25">
      <c r="B143" s="41" t="s">
        <v>175</v>
      </c>
      <c r="C143" s="58">
        <v>0</v>
      </c>
      <c r="D143" s="58">
        <v>0</v>
      </c>
      <c r="E143" s="58">
        <v>0.215</v>
      </c>
      <c r="F143" s="58">
        <v>0</v>
      </c>
      <c r="G143" s="58">
        <v>0</v>
      </c>
      <c r="H143" s="58">
        <v>0</v>
      </c>
      <c r="I143" s="58">
        <v>0</v>
      </c>
      <c r="J143" s="58">
        <v>0</v>
      </c>
      <c r="K143" s="58">
        <v>0</v>
      </c>
      <c r="L143" s="58">
        <v>0</v>
      </c>
      <c r="M143" s="58">
        <v>0</v>
      </c>
      <c r="N143" s="58">
        <v>0</v>
      </c>
      <c r="O143" s="42"/>
    </row>
    <row r="144" spans="2:15" x14ac:dyDescent="0.25">
      <c r="B144" s="41" t="s">
        <v>133</v>
      </c>
      <c r="C144" s="58">
        <v>0</v>
      </c>
      <c r="D144" s="58">
        <v>0</v>
      </c>
      <c r="E144" s="58">
        <v>0</v>
      </c>
      <c r="F144" s="58">
        <v>0</v>
      </c>
      <c r="G144" s="58">
        <v>0</v>
      </c>
      <c r="H144" s="58">
        <v>0.58799999999999997</v>
      </c>
      <c r="I144" s="58">
        <v>0.59199999999999997</v>
      </c>
      <c r="J144" s="58">
        <v>0.59699999999999998</v>
      </c>
      <c r="K144" s="58">
        <v>0.53600000000000003</v>
      </c>
      <c r="L144" s="58">
        <v>0.501</v>
      </c>
      <c r="M144" s="58">
        <v>0.48099999999999998</v>
      </c>
      <c r="N144" s="58">
        <v>0.63900000000000001</v>
      </c>
      <c r="O144" s="42"/>
    </row>
    <row r="145" spans="2:15" x14ac:dyDescent="0.25">
      <c r="B145" s="41" t="s">
        <v>135</v>
      </c>
      <c r="C145" s="58">
        <v>0</v>
      </c>
      <c r="D145" s="58">
        <v>0</v>
      </c>
      <c r="E145" s="58">
        <v>0</v>
      </c>
      <c r="F145" s="58">
        <v>0.752</v>
      </c>
      <c r="G145" s="58">
        <v>1.9450000000000001</v>
      </c>
      <c r="H145" s="58">
        <v>2.5070000000000001</v>
      </c>
      <c r="I145" s="58">
        <v>1.31</v>
      </c>
      <c r="J145" s="58">
        <v>0.33600000000000002</v>
      </c>
      <c r="K145" s="58">
        <v>1.425</v>
      </c>
      <c r="L145" s="58">
        <v>1.3169999999999999</v>
      </c>
      <c r="M145" s="58">
        <v>1.4079999999999999</v>
      </c>
      <c r="N145" s="58">
        <v>0.13600000000000001</v>
      </c>
      <c r="O145" s="42"/>
    </row>
    <row r="146" spans="2:15" x14ac:dyDescent="0.25">
      <c r="B146" s="41" t="s">
        <v>161</v>
      </c>
      <c r="C146" s="58">
        <v>0</v>
      </c>
      <c r="D146" s="58">
        <v>0</v>
      </c>
      <c r="E146" s="58">
        <v>0</v>
      </c>
      <c r="F146" s="58">
        <v>0</v>
      </c>
      <c r="G146" s="58">
        <v>0</v>
      </c>
      <c r="H146" s="58">
        <v>0</v>
      </c>
      <c r="I146" s="87">
        <v>53</v>
      </c>
      <c r="J146" s="58">
        <v>0</v>
      </c>
      <c r="K146" s="58">
        <v>0</v>
      </c>
      <c r="L146" s="58">
        <v>0</v>
      </c>
      <c r="M146" s="58">
        <v>0</v>
      </c>
      <c r="N146" s="58">
        <v>0</v>
      </c>
      <c r="O146" s="42"/>
    </row>
    <row r="147" spans="2:15" x14ac:dyDescent="0.25">
      <c r="B147" s="41" t="s">
        <v>245</v>
      </c>
      <c r="C147" s="58">
        <v>0</v>
      </c>
      <c r="D147" s="58">
        <v>0</v>
      </c>
      <c r="E147" s="58">
        <v>0</v>
      </c>
      <c r="F147" s="58">
        <v>0</v>
      </c>
      <c r="G147" s="58">
        <v>0</v>
      </c>
      <c r="H147" s="58">
        <v>0</v>
      </c>
      <c r="I147" s="87">
        <v>0</v>
      </c>
      <c r="J147" s="58">
        <v>0</v>
      </c>
      <c r="K147" s="58">
        <v>0</v>
      </c>
      <c r="L147" s="58">
        <v>0</v>
      </c>
      <c r="M147" s="58">
        <v>0</v>
      </c>
      <c r="N147" s="58">
        <v>8.9999999999999993E-3</v>
      </c>
      <c r="O147" s="42"/>
    </row>
    <row r="148" spans="2:15" x14ac:dyDescent="0.25">
      <c r="B148" s="41" t="s">
        <v>132</v>
      </c>
      <c r="C148" s="58">
        <v>0</v>
      </c>
      <c r="D148" s="58">
        <v>0</v>
      </c>
      <c r="E148" s="58">
        <v>0</v>
      </c>
      <c r="F148" s="58">
        <v>0</v>
      </c>
      <c r="G148" s="58">
        <v>0</v>
      </c>
      <c r="H148" s="58">
        <v>0</v>
      </c>
      <c r="I148" s="58">
        <v>0</v>
      </c>
      <c r="J148" s="58">
        <v>0</v>
      </c>
      <c r="K148" s="58">
        <v>0.95199999999999996</v>
      </c>
      <c r="L148" s="58">
        <v>0.434</v>
      </c>
      <c r="M148" s="58">
        <v>0.91600000000000004</v>
      </c>
      <c r="N148" s="58">
        <v>1.845</v>
      </c>
      <c r="O148" s="42"/>
    </row>
    <row r="149" spans="2:15" x14ac:dyDescent="0.25">
      <c r="B149" s="41" t="s">
        <v>134</v>
      </c>
      <c r="C149" s="58">
        <v>0</v>
      </c>
      <c r="D149" s="58">
        <v>0</v>
      </c>
      <c r="E149" s="58">
        <v>0</v>
      </c>
      <c r="F149" s="58">
        <v>0</v>
      </c>
      <c r="G149" s="58">
        <v>0</v>
      </c>
      <c r="H149" s="58">
        <v>0</v>
      </c>
      <c r="I149" s="58">
        <v>0</v>
      </c>
      <c r="J149" s="58">
        <v>13.394</v>
      </c>
      <c r="K149" s="58">
        <v>52.594999999999999</v>
      </c>
      <c r="L149" s="58">
        <v>50.555999999999997</v>
      </c>
      <c r="M149" s="58">
        <v>6.9210000000000003</v>
      </c>
      <c r="N149" s="58">
        <v>38.637999999999998</v>
      </c>
      <c r="O149" s="42"/>
    </row>
    <row r="150" spans="2:15" ht="18" x14ac:dyDescent="0.25">
      <c r="B150" s="18" t="s">
        <v>21</v>
      </c>
      <c r="C150" s="60">
        <f t="shared" ref="C150:K150" si="40">+SUM(C139:C149)</f>
        <v>45.668999999999997</v>
      </c>
      <c r="D150" s="60">
        <f t="shared" si="40"/>
        <v>41.911000000000001</v>
      </c>
      <c r="E150" s="60">
        <f t="shared" si="40"/>
        <v>62.823</v>
      </c>
      <c r="F150" s="60">
        <f t="shared" si="40"/>
        <v>68.734999999999999</v>
      </c>
      <c r="G150" s="60">
        <f t="shared" si="40"/>
        <v>59.216000000000001</v>
      </c>
      <c r="H150" s="60">
        <f t="shared" si="40"/>
        <v>60.631999999999998</v>
      </c>
      <c r="I150" s="60">
        <f t="shared" si="40"/>
        <v>123.339</v>
      </c>
      <c r="J150" s="60">
        <f t="shared" si="40"/>
        <v>80.518000000000001</v>
      </c>
      <c r="K150" s="60">
        <f t="shared" si="40"/>
        <v>145.53</v>
      </c>
      <c r="L150" s="60">
        <f>+SUM(L139:L149)</f>
        <v>128.72999999999999</v>
      </c>
      <c r="M150" s="60">
        <f>+SUM(M139:M149)</f>
        <v>99.816000000000003</v>
      </c>
      <c r="N150" s="60">
        <f>+SUM(N139:N149)</f>
        <v>147.38399999999999</v>
      </c>
      <c r="O150" s="70"/>
    </row>
    <row r="151" spans="2:15" ht="18" x14ac:dyDescent="0.25">
      <c r="B151" s="18" t="s">
        <v>136</v>
      </c>
      <c r="C151" s="60">
        <f t="shared" ref="C151:K151" si="41">+SUM(C138,C150)</f>
        <v>50.3</v>
      </c>
      <c r="D151" s="60">
        <f t="shared" si="41"/>
        <v>47.777999999999999</v>
      </c>
      <c r="E151" s="60">
        <f t="shared" si="41"/>
        <v>112.376</v>
      </c>
      <c r="F151" s="60">
        <f t="shared" si="41"/>
        <v>127.51900000000001</v>
      </c>
      <c r="G151" s="60">
        <f t="shared" si="41"/>
        <v>118.78</v>
      </c>
      <c r="H151" s="60">
        <f t="shared" si="41"/>
        <v>125.851</v>
      </c>
      <c r="I151" s="60">
        <f t="shared" si="41"/>
        <v>154.84700000000001</v>
      </c>
      <c r="J151" s="60">
        <f t="shared" si="41"/>
        <v>149.50900000000001</v>
      </c>
      <c r="K151" s="60">
        <f t="shared" si="41"/>
        <v>196.774</v>
      </c>
      <c r="L151" s="60">
        <f>+SUM(L138,L150)</f>
        <v>178.17699999999999</v>
      </c>
      <c r="M151" s="60">
        <f>+SUM(M138,M150)</f>
        <v>157.31299999999999</v>
      </c>
      <c r="N151" s="60">
        <f>+SUM(N138,N150)</f>
        <v>199.83199999999999</v>
      </c>
      <c r="O151" s="70"/>
    </row>
    <row r="152" spans="2:15" ht="18" x14ac:dyDescent="0.25">
      <c r="B152" s="18" t="s">
        <v>22</v>
      </c>
      <c r="C152" s="59">
        <f t="shared" ref="C152:K152" si="42">+SUM(C132,C151)</f>
        <v>107.229</v>
      </c>
      <c r="D152" s="59">
        <f t="shared" si="42"/>
        <v>224.14399999999998</v>
      </c>
      <c r="E152" s="59">
        <f t="shared" si="42"/>
        <v>300.93799999999999</v>
      </c>
      <c r="F152" s="59">
        <f t="shared" si="42"/>
        <v>374.37200000000001</v>
      </c>
      <c r="G152" s="59">
        <f t="shared" si="42"/>
        <v>405.154</v>
      </c>
      <c r="H152" s="59">
        <f t="shared" si="42"/>
        <v>443.30700000000007</v>
      </c>
      <c r="I152" s="59">
        <f t="shared" si="42"/>
        <v>505.04600000000005</v>
      </c>
      <c r="J152" s="59">
        <f t="shared" si="42"/>
        <v>585.40700000000004</v>
      </c>
      <c r="K152" s="59">
        <f t="shared" si="42"/>
        <v>663.07100000000003</v>
      </c>
      <c r="L152" s="59">
        <f>+SUM(L132,L151)</f>
        <v>670.56900000000007</v>
      </c>
      <c r="M152" s="59">
        <f>+SUM(M132,M151)</f>
        <v>675.85</v>
      </c>
      <c r="N152" s="59">
        <f>+SUM(N132,N151)</f>
        <v>791.64200000000005</v>
      </c>
      <c r="O152" s="68"/>
    </row>
    <row r="153" spans="2:15" x14ac:dyDescent="0.25">
      <c r="C153" s="117">
        <f t="shared" ref="C153:K153" si="43">+C123-C152</f>
        <v>0</v>
      </c>
      <c r="D153" s="117">
        <f t="shared" si="43"/>
        <v>0</v>
      </c>
      <c r="E153" s="117">
        <f t="shared" si="43"/>
        <v>0</v>
      </c>
      <c r="F153" s="117">
        <f t="shared" si="43"/>
        <v>0</v>
      </c>
      <c r="G153" s="117">
        <f t="shared" si="43"/>
        <v>0</v>
      </c>
      <c r="H153" s="117">
        <f t="shared" si="43"/>
        <v>0</v>
      </c>
      <c r="I153" s="117">
        <f t="shared" si="43"/>
        <v>0</v>
      </c>
      <c r="J153" s="117">
        <f t="shared" si="43"/>
        <v>0</v>
      </c>
      <c r="K153" s="117">
        <f t="shared" si="43"/>
        <v>0</v>
      </c>
      <c r="L153" s="117">
        <f>+L123-L152</f>
        <v>0</v>
      </c>
      <c r="M153" s="117">
        <f>+M123-M152</f>
        <v>0</v>
      </c>
      <c r="N153" s="117">
        <f>+N123-N152</f>
        <v>0</v>
      </c>
      <c r="O153" s="34"/>
    </row>
    <row r="154" spans="2:15" s="3" customFormat="1" x14ac:dyDescent="0.25"/>
    <row r="155" spans="2:15" x14ac:dyDescent="0.25">
      <c r="B155" s="43"/>
      <c r="C155" s="34"/>
      <c r="D155" s="34"/>
      <c r="E155" s="34"/>
      <c r="F155" s="34"/>
      <c r="G155" s="34"/>
      <c r="H155" s="34"/>
      <c r="I155" s="34"/>
      <c r="J155" s="34"/>
      <c r="K155" s="34"/>
      <c r="L155" s="34"/>
      <c r="M155" s="34"/>
      <c r="N155" s="34"/>
      <c r="O155" s="34"/>
    </row>
    <row r="156" spans="2:15" x14ac:dyDescent="0.25">
      <c r="B156" s="43"/>
      <c r="C156" s="34"/>
      <c r="D156" s="34"/>
      <c r="E156" s="34"/>
      <c r="F156" s="34"/>
      <c r="G156" s="34"/>
      <c r="H156" s="34"/>
      <c r="I156" s="34"/>
      <c r="J156" s="34"/>
      <c r="K156" s="34"/>
      <c r="L156" s="34"/>
      <c r="M156" s="34"/>
      <c r="N156" s="34"/>
      <c r="O156" s="34"/>
    </row>
    <row r="157" spans="2:15" ht="30" x14ac:dyDescent="0.4">
      <c r="B157" s="24" t="s">
        <v>98</v>
      </c>
    </row>
    <row r="159" spans="2:15" ht="22.5" x14ac:dyDescent="0.3">
      <c r="B159" s="17" t="s">
        <v>58</v>
      </c>
      <c r="C159" s="6">
        <v>2014</v>
      </c>
      <c r="D159" s="6">
        <v>2015</v>
      </c>
      <c r="E159" s="6">
        <v>2016</v>
      </c>
      <c r="F159" s="6">
        <v>2017</v>
      </c>
      <c r="G159" s="6">
        <v>2018</v>
      </c>
      <c r="H159" s="5">
        <v>2019</v>
      </c>
      <c r="I159" s="5">
        <v>2020</v>
      </c>
      <c r="J159" s="5">
        <v>2021</v>
      </c>
      <c r="K159" s="5">
        <v>2022</v>
      </c>
      <c r="L159" s="6">
        <v>2023</v>
      </c>
      <c r="M159" s="6">
        <v>2024</v>
      </c>
      <c r="N159" s="6">
        <v>2025</v>
      </c>
      <c r="O159" s="5" t="s">
        <v>240</v>
      </c>
    </row>
    <row r="160" spans="2:15" ht="18" x14ac:dyDescent="0.25">
      <c r="B160" s="18" t="s">
        <v>4</v>
      </c>
      <c r="C160" s="62">
        <f t="shared" ref="C160:E160" si="44">C79</f>
        <v>-11.23</v>
      </c>
      <c r="D160" s="62">
        <f t="shared" si="44"/>
        <v>-14.98</v>
      </c>
      <c r="E160" s="62">
        <f t="shared" si="44"/>
        <v>-0.14999999999999902</v>
      </c>
      <c r="F160" s="62">
        <f t="shared" ref="F160:J160" si="45">F79</f>
        <v>21.907</v>
      </c>
      <c r="G160" s="62">
        <f t="shared" si="45"/>
        <v>41.543000000000006</v>
      </c>
      <c r="H160" s="62">
        <f t="shared" si="45"/>
        <v>36.927</v>
      </c>
      <c r="I160" s="62">
        <f t="shared" si="45"/>
        <v>31.741999999999983</v>
      </c>
      <c r="J160" s="62">
        <f t="shared" si="45"/>
        <v>159.82699999999991</v>
      </c>
      <c r="K160" s="62">
        <f>K79</f>
        <v>32.320000000000029</v>
      </c>
      <c r="L160" s="62">
        <f>L79</f>
        <v>36.093000000000011</v>
      </c>
      <c r="M160" s="62">
        <f>M79</f>
        <v>31.523000000000035</v>
      </c>
      <c r="N160" s="62">
        <f>N79</f>
        <v>102.26300000000002</v>
      </c>
      <c r="O160" s="67"/>
    </row>
    <row r="161" spans="2:15" ht="15" customHeight="1" x14ac:dyDescent="0.25">
      <c r="B161" s="41" t="s">
        <v>137</v>
      </c>
      <c r="C161" s="58">
        <v>0.11</v>
      </c>
      <c r="D161" s="58">
        <v>0.152</v>
      </c>
      <c r="E161" s="58">
        <v>8.6430000000000007</v>
      </c>
      <c r="F161" s="58">
        <v>12.54</v>
      </c>
      <c r="G161" s="58">
        <v>10.143000000000001</v>
      </c>
      <c r="H161" s="58">
        <v>12.574999999999999</v>
      </c>
      <c r="I161" s="58">
        <v>25.765999999999998</v>
      </c>
      <c r="J161" s="58">
        <v>27.68</v>
      </c>
      <c r="K161" s="58">
        <v>29.637</v>
      </c>
      <c r="L161" s="58">
        <v>33.307000000000002</v>
      </c>
      <c r="M161" s="58">
        <v>39.658000000000001</v>
      </c>
      <c r="N161" s="58">
        <v>42.718000000000004</v>
      </c>
      <c r="O161" s="71"/>
    </row>
    <row r="162" spans="2:15" x14ac:dyDescent="0.25">
      <c r="B162" s="41" t="s">
        <v>138</v>
      </c>
      <c r="C162" s="58">
        <v>0</v>
      </c>
      <c r="D162" s="58">
        <v>0.123</v>
      </c>
      <c r="E162" s="58">
        <v>2.649</v>
      </c>
      <c r="F162" s="58">
        <v>4.1310000000000002</v>
      </c>
      <c r="G162" s="58">
        <v>3.2869999999999999</v>
      </c>
      <c r="H162" s="58">
        <v>3.5019999999999998</v>
      </c>
      <c r="I162" s="58">
        <v>4.9409999999999998</v>
      </c>
      <c r="J162" s="58">
        <v>4.5960000000000001</v>
      </c>
      <c r="K162" s="58">
        <v>4.4820000000000002</v>
      </c>
      <c r="L162" s="58">
        <v>4.4930000000000003</v>
      </c>
      <c r="M162" s="58">
        <v>3.907</v>
      </c>
      <c r="N162" s="58">
        <v>4.8019999999999996</v>
      </c>
      <c r="O162" s="57"/>
    </row>
    <row r="163" spans="2:15" x14ac:dyDescent="0.25">
      <c r="B163" s="41" t="s">
        <v>179</v>
      </c>
      <c r="C163" s="58"/>
      <c r="D163" s="58">
        <v>0</v>
      </c>
      <c r="E163" s="58">
        <v>0.01</v>
      </c>
      <c r="F163" s="58">
        <v>0</v>
      </c>
      <c r="G163" s="58">
        <v>0</v>
      </c>
      <c r="H163" s="58">
        <v>0</v>
      </c>
      <c r="I163" s="58">
        <v>0</v>
      </c>
      <c r="J163" s="58">
        <v>0</v>
      </c>
      <c r="K163" s="58">
        <v>0</v>
      </c>
      <c r="L163" s="58">
        <v>0</v>
      </c>
      <c r="M163" s="58">
        <v>0</v>
      </c>
      <c r="N163" s="58">
        <v>0</v>
      </c>
      <c r="O163" s="57"/>
    </row>
    <row r="164" spans="2:15" x14ac:dyDescent="0.25">
      <c r="B164" s="41" t="s">
        <v>162</v>
      </c>
      <c r="C164" s="58"/>
      <c r="D164" s="58">
        <v>0</v>
      </c>
      <c r="E164" s="58">
        <v>0</v>
      </c>
      <c r="F164" s="58">
        <v>0</v>
      </c>
      <c r="G164" s="58">
        <v>0</v>
      </c>
      <c r="H164" s="58">
        <v>6.9480000000000004</v>
      </c>
      <c r="I164" s="58">
        <v>0.98499999999999999</v>
      </c>
      <c r="J164" s="58">
        <v>0</v>
      </c>
      <c r="K164" s="58">
        <v>0</v>
      </c>
      <c r="L164" s="58">
        <v>0</v>
      </c>
      <c r="M164" s="58">
        <v>0</v>
      </c>
      <c r="N164" s="58">
        <v>0</v>
      </c>
      <c r="O164" s="57"/>
    </row>
    <row r="165" spans="2:15" x14ac:dyDescent="0.25">
      <c r="B165" s="41" t="s">
        <v>139</v>
      </c>
      <c r="C165" s="58">
        <v>0.249</v>
      </c>
      <c r="D165" s="58">
        <v>0.152</v>
      </c>
      <c r="E165" s="58">
        <v>0.13700000000000001</v>
      </c>
      <c r="F165" s="58">
        <v>0.152</v>
      </c>
      <c r="G165" s="58">
        <v>0.216</v>
      </c>
      <c r="H165" s="58">
        <v>0.61899999999999999</v>
      </c>
      <c r="I165" s="58">
        <v>0.81599999999999995</v>
      </c>
      <c r="J165" s="58">
        <v>0.89900000000000002</v>
      </c>
      <c r="K165" s="58">
        <v>1.2789999999999999</v>
      </c>
      <c r="L165" s="58">
        <v>0.66100000000000003</v>
      </c>
      <c r="M165" s="58">
        <v>1.379</v>
      </c>
      <c r="N165" s="58">
        <v>7.0090000000000003</v>
      </c>
      <c r="O165" s="57"/>
    </row>
    <row r="166" spans="2:15" x14ac:dyDescent="0.25">
      <c r="B166" s="41" t="s">
        <v>180</v>
      </c>
      <c r="C166" s="58">
        <v>0.252</v>
      </c>
      <c r="D166" s="58">
        <v>0.10100000000000001</v>
      </c>
      <c r="E166" s="58">
        <v>6.3E-2</v>
      </c>
      <c r="F166" s="58">
        <v>0</v>
      </c>
      <c r="G166" s="58">
        <v>0</v>
      </c>
      <c r="H166" s="58">
        <v>0</v>
      </c>
      <c r="I166" s="58">
        <v>0</v>
      </c>
      <c r="J166" s="58">
        <v>0</v>
      </c>
      <c r="K166" s="58">
        <v>0</v>
      </c>
      <c r="L166" s="58">
        <v>0</v>
      </c>
      <c r="M166" s="58">
        <v>0</v>
      </c>
      <c r="N166" s="58"/>
      <c r="O166" s="57"/>
    </row>
    <row r="167" spans="2:15" x14ac:dyDescent="0.25">
      <c r="B167" s="41" t="s">
        <v>173</v>
      </c>
      <c r="C167" s="58">
        <v>0</v>
      </c>
      <c r="D167" s="58">
        <v>0</v>
      </c>
      <c r="E167" s="58">
        <v>0</v>
      </c>
      <c r="F167" s="58">
        <v>-0.20499999999999999</v>
      </c>
      <c r="G167" s="58">
        <v>0</v>
      </c>
      <c r="H167" s="58">
        <v>0</v>
      </c>
      <c r="I167" s="58">
        <v>0</v>
      </c>
      <c r="J167" s="58">
        <v>0</v>
      </c>
      <c r="K167" s="58">
        <v>0</v>
      </c>
      <c r="L167" s="58">
        <v>0</v>
      </c>
      <c r="M167" s="58">
        <v>0</v>
      </c>
      <c r="N167" s="58"/>
      <c r="O167" s="57"/>
    </row>
    <row r="168" spans="2:15" x14ac:dyDescent="0.25">
      <c r="B168" s="41" t="s">
        <v>140</v>
      </c>
      <c r="C168" s="58">
        <v>-5.0000000000000001E-3</v>
      </c>
      <c r="D168" s="58">
        <v>-3.7999999999999999E-2</v>
      </c>
      <c r="E168" s="58">
        <v>-4.1000000000000002E-2</v>
      </c>
      <c r="F168" s="58">
        <v>-2.1999999999999999E-2</v>
      </c>
      <c r="G168" s="58">
        <v>-7.0999999999999994E-2</v>
      </c>
      <c r="H168" s="58">
        <v>-5.1999999999999998E-2</v>
      </c>
      <c r="I168" s="58">
        <v>-0.19700000000000001</v>
      </c>
      <c r="J168" s="58">
        <v>-5.7000000000000002E-2</v>
      </c>
      <c r="K168" s="58">
        <v>-0.24399999999999999</v>
      </c>
      <c r="L168" s="58">
        <v>-5.3929999999999998</v>
      </c>
      <c r="M168" s="58">
        <v>-1.887</v>
      </c>
      <c r="N168" s="58">
        <v>-1.8340000000000001</v>
      </c>
      <c r="O168" s="57"/>
    </row>
    <row r="169" spans="2:15" x14ac:dyDescent="0.25">
      <c r="B169" s="41" t="s">
        <v>141</v>
      </c>
      <c r="C169" s="58">
        <v>0.36899999999999999</v>
      </c>
      <c r="D169" s="58">
        <v>0.23899999999999999</v>
      </c>
      <c r="E169" s="58">
        <v>0.39500000000000002</v>
      </c>
      <c r="F169" s="58">
        <v>0.67100000000000004</v>
      </c>
      <c r="G169" s="58">
        <v>0.214</v>
      </c>
      <c r="H169" s="58">
        <v>4.1000000000000002E-2</v>
      </c>
      <c r="I169" s="58">
        <v>0.18</v>
      </c>
      <c r="J169" s="58">
        <v>0.84599999999999997</v>
      </c>
      <c r="K169" s="58">
        <v>1.0249999999999999</v>
      </c>
      <c r="L169" s="58">
        <v>2.6070000000000002</v>
      </c>
      <c r="M169" s="58">
        <v>1.161</v>
      </c>
      <c r="N169" s="58">
        <v>0.60399999999999998</v>
      </c>
      <c r="O169" s="57"/>
    </row>
    <row r="170" spans="2:15" x14ac:dyDescent="0.25">
      <c r="B170" s="41" t="s">
        <v>181</v>
      </c>
      <c r="C170" s="58">
        <v>0</v>
      </c>
      <c r="D170" s="58">
        <v>0</v>
      </c>
      <c r="E170" s="58">
        <v>2.1230000000000002</v>
      </c>
      <c r="F170" s="58">
        <v>0</v>
      </c>
      <c r="G170" s="58">
        <v>0</v>
      </c>
      <c r="H170" s="58">
        <v>0</v>
      </c>
      <c r="I170" s="58">
        <v>0</v>
      </c>
      <c r="J170" s="58">
        <v>0</v>
      </c>
      <c r="K170" s="58">
        <v>0</v>
      </c>
      <c r="L170" s="58">
        <v>0</v>
      </c>
      <c r="M170" s="58">
        <v>0</v>
      </c>
      <c r="N170" s="58"/>
      <c r="O170" s="57"/>
    </row>
    <row r="171" spans="2:15" x14ac:dyDescent="0.25">
      <c r="B171" s="41" t="s">
        <v>182</v>
      </c>
      <c r="C171" s="58">
        <v>-1.9039999999999999</v>
      </c>
      <c r="D171" s="58">
        <v>0.31</v>
      </c>
      <c r="E171" s="58">
        <v>0</v>
      </c>
      <c r="F171" s="58">
        <v>0</v>
      </c>
      <c r="G171" s="58">
        <v>0</v>
      </c>
      <c r="H171" s="58">
        <v>0</v>
      </c>
      <c r="I171" s="58">
        <v>0</v>
      </c>
      <c r="J171" s="58">
        <v>0</v>
      </c>
      <c r="K171" s="58">
        <v>0</v>
      </c>
      <c r="L171" s="58">
        <v>0</v>
      </c>
      <c r="M171" s="58">
        <v>0</v>
      </c>
      <c r="N171" s="58"/>
      <c r="O171" s="57"/>
    </row>
    <row r="172" spans="2:15" x14ac:dyDescent="0.25">
      <c r="B172" s="41" t="s">
        <v>183</v>
      </c>
      <c r="C172" s="58">
        <v>0.69099999999999995</v>
      </c>
      <c r="D172" s="58">
        <v>3.1E-2</v>
      </c>
      <c r="E172" s="58">
        <v>0</v>
      </c>
      <c r="F172" s="58">
        <v>0</v>
      </c>
      <c r="G172" s="58">
        <v>0</v>
      </c>
      <c r="H172" s="58">
        <v>0</v>
      </c>
      <c r="I172" s="58">
        <v>0</v>
      </c>
      <c r="J172" s="58">
        <v>0</v>
      </c>
      <c r="K172" s="58">
        <v>0</v>
      </c>
      <c r="L172" s="58">
        <v>0</v>
      </c>
      <c r="M172" s="58">
        <v>0</v>
      </c>
      <c r="N172" s="58"/>
      <c r="O172" s="57"/>
    </row>
    <row r="173" spans="2:15" x14ac:dyDescent="0.25">
      <c r="B173" s="41" t="s">
        <v>184</v>
      </c>
      <c r="C173" s="58">
        <v>1.3089999999999999</v>
      </c>
      <c r="D173" s="58">
        <v>1.1779999999999999</v>
      </c>
      <c r="E173" s="58">
        <v>0</v>
      </c>
      <c r="F173" s="58">
        <v>0</v>
      </c>
      <c r="G173" s="58">
        <v>0</v>
      </c>
      <c r="H173" s="58">
        <v>0</v>
      </c>
      <c r="I173" s="58">
        <v>0</v>
      </c>
      <c r="J173" s="58">
        <v>0</v>
      </c>
      <c r="K173" s="58">
        <v>0</v>
      </c>
      <c r="L173" s="58">
        <v>0</v>
      </c>
      <c r="M173" s="58">
        <v>0</v>
      </c>
      <c r="N173" s="58"/>
      <c r="O173" s="57"/>
    </row>
    <row r="174" spans="2:15" x14ac:dyDescent="0.25">
      <c r="B174" s="41" t="s">
        <v>185</v>
      </c>
      <c r="C174" s="58">
        <v>0</v>
      </c>
      <c r="D174" s="58">
        <v>1.232</v>
      </c>
      <c r="E174" s="58">
        <v>0</v>
      </c>
      <c r="F174" s="58">
        <v>0</v>
      </c>
      <c r="G174" s="58">
        <v>0</v>
      </c>
      <c r="H174" s="58">
        <v>0</v>
      </c>
      <c r="I174" s="58">
        <v>0</v>
      </c>
      <c r="J174" s="58">
        <v>0</v>
      </c>
      <c r="K174" s="58">
        <v>0</v>
      </c>
      <c r="L174" s="58">
        <v>0</v>
      </c>
      <c r="M174" s="58">
        <v>0</v>
      </c>
      <c r="N174" s="58"/>
      <c r="O174" s="57"/>
    </row>
    <row r="175" spans="2:15" x14ac:dyDescent="0.25">
      <c r="B175" s="41" t="s">
        <v>186</v>
      </c>
      <c r="C175" s="58">
        <v>0</v>
      </c>
      <c r="D175" s="58">
        <v>1.3420000000000001</v>
      </c>
      <c r="E175" s="58">
        <v>0</v>
      </c>
      <c r="F175" s="58">
        <v>0</v>
      </c>
      <c r="G175" s="58">
        <v>0</v>
      </c>
      <c r="H175" s="58">
        <v>0</v>
      </c>
      <c r="I175" s="58">
        <v>0</v>
      </c>
      <c r="J175" s="58">
        <v>0</v>
      </c>
      <c r="K175" s="58">
        <v>0</v>
      </c>
      <c r="L175" s="58">
        <v>0</v>
      </c>
      <c r="M175" s="58">
        <v>0</v>
      </c>
      <c r="N175" s="58"/>
      <c r="O175" s="57"/>
    </row>
    <row r="176" spans="2:15" x14ac:dyDescent="0.25">
      <c r="B176" s="41" t="s">
        <v>187</v>
      </c>
      <c r="C176" s="58">
        <v>0</v>
      </c>
      <c r="D176" s="58">
        <v>5.3040000000000003</v>
      </c>
      <c r="E176" s="58">
        <v>0</v>
      </c>
      <c r="F176" s="58">
        <v>0</v>
      </c>
      <c r="G176" s="58">
        <v>0</v>
      </c>
      <c r="H176" s="58">
        <v>0</v>
      </c>
      <c r="I176" s="58">
        <v>0</v>
      </c>
      <c r="J176" s="58">
        <v>0</v>
      </c>
      <c r="K176" s="58">
        <v>0</v>
      </c>
      <c r="L176" s="58">
        <v>0</v>
      </c>
      <c r="M176" s="58">
        <v>0</v>
      </c>
      <c r="N176" s="58"/>
      <c r="O176" s="57"/>
    </row>
    <row r="177" spans="2:15" x14ac:dyDescent="0.25">
      <c r="B177" s="41" t="s">
        <v>142</v>
      </c>
      <c r="C177" s="58">
        <v>0</v>
      </c>
      <c r="D177" s="58">
        <v>0</v>
      </c>
      <c r="E177" s="58">
        <v>0</v>
      </c>
      <c r="F177" s="58">
        <v>0.113</v>
      </c>
      <c r="G177" s="58">
        <v>3.9E-2</v>
      </c>
      <c r="H177" s="58">
        <v>0.04</v>
      </c>
      <c r="I177" s="58">
        <v>0.14399999999999999</v>
      </c>
      <c r="J177" s="58">
        <v>1.0629999999999999</v>
      </c>
      <c r="K177" s="58">
        <v>0</v>
      </c>
      <c r="L177" s="58">
        <v>0.69</v>
      </c>
      <c r="M177" s="58">
        <v>0.82799999999999996</v>
      </c>
      <c r="N177" s="58">
        <v>0.79600000000000004</v>
      </c>
      <c r="O177" s="57"/>
    </row>
    <row r="178" spans="2:15" x14ac:dyDescent="0.25">
      <c r="B178" s="41" t="s">
        <v>158</v>
      </c>
      <c r="C178" s="58">
        <v>0</v>
      </c>
      <c r="D178" s="58">
        <v>0</v>
      </c>
      <c r="E178" s="58">
        <v>0</v>
      </c>
      <c r="F178" s="58">
        <v>0</v>
      </c>
      <c r="G178" s="58">
        <v>0</v>
      </c>
      <c r="H178" s="58">
        <v>0</v>
      </c>
      <c r="I178" s="58">
        <v>0</v>
      </c>
      <c r="J178" s="58">
        <v>11.737</v>
      </c>
      <c r="K178" s="58">
        <v>0</v>
      </c>
      <c r="L178" s="58">
        <v>0</v>
      </c>
      <c r="M178" s="58">
        <v>0</v>
      </c>
      <c r="N178" s="58"/>
      <c r="O178" s="57"/>
    </row>
    <row r="179" spans="2:15" x14ac:dyDescent="0.25">
      <c r="B179" s="41" t="s">
        <v>159</v>
      </c>
      <c r="C179" s="58">
        <v>0</v>
      </c>
      <c r="D179" s="58">
        <v>0</v>
      </c>
      <c r="E179" s="58">
        <v>0</v>
      </c>
      <c r="F179" s="58">
        <v>0</v>
      </c>
      <c r="G179" s="58">
        <v>0</v>
      </c>
      <c r="H179" s="58">
        <v>0</v>
      </c>
      <c r="I179" s="58">
        <v>0</v>
      </c>
      <c r="J179" s="58">
        <v>0.41699999999999998</v>
      </c>
      <c r="K179" s="58">
        <v>0</v>
      </c>
      <c r="L179" s="58">
        <v>0</v>
      </c>
      <c r="M179" s="58">
        <v>0</v>
      </c>
      <c r="N179" s="58">
        <v>1.1970000000000001</v>
      </c>
      <c r="O179" s="57"/>
    </row>
    <row r="180" spans="2:15" x14ac:dyDescent="0.25">
      <c r="B180" s="41" t="s">
        <v>143</v>
      </c>
      <c r="C180" s="58">
        <v>0</v>
      </c>
      <c r="D180" s="58">
        <v>0</v>
      </c>
      <c r="E180" s="58">
        <v>0</v>
      </c>
      <c r="F180" s="58">
        <v>0.21299999999999999</v>
      </c>
      <c r="G180" s="58">
        <v>-8.5999999999999993E-2</v>
      </c>
      <c r="H180" s="58">
        <v>0.26100000000000001</v>
      </c>
      <c r="I180" s="58">
        <v>0.23799999999999999</v>
      </c>
      <c r="J180" s="58">
        <v>-6.0999999999999999E-2</v>
      </c>
      <c r="K180" s="58">
        <v>-4.2999999999999997E-2</v>
      </c>
      <c r="L180" s="58">
        <v>1E-3</v>
      </c>
      <c r="M180" s="58">
        <v>-1.2549999999999999</v>
      </c>
      <c r="N180" s="58">
        <v>0</v>
      </c>
      <c r="O180" s="57"/>
    </row>
    <row r="181" spans="2:15" x14ac:dyDescent="0.25">
      <c r="B181" s="41" t="s">
        <v>167</v>
      </c>
      <c r="C181" s="58">
        <v>0</v>
      </c>
      <c r="D181" s="58">
        <v>0</v>
      </c>
      <c r="E181" s="58">
        <v>0</v>
      </c>
      <c r="F181" s="58">
        <v>0</v>
      </c>
      <c r="G181" s="58">
        <v>-0.11700000000000001</v>
      </c>
      <c r="H181" s="58">
        <v>0</v>
      </c>
      <c r="I181" s="58">
        <v>0</v>
      </c>
      <c r="J181" s="58">
        <v>0</v>
      </c>
      <c r="K181" s="58">
        <v>0</v>
      </c>
      <c r="L181" s="58">
        <v>0</v>
      </c>
      <c r="M181" s="58">
        <v>0</v>
      </c>
      <c r="N181" s="58"/>
      <c r="O181" s="57"/>
    </row>
    <row r="182" spans="2:15" x14ac:dyDescent="0.25">
      <c r="B182" s="41" t="s">
        <v>174</v>
      </c>
      <c r="C182" s="58">
        <v>0</v>
      </c>
      <c r="D182" s="58">
        <v>-9.1999999999999998E-2</v>
      </c>
      <c r="E182" s="58">
        <v>0</v>
      </c>
      <c r="F182" s="58">
        <v>-4.9000000000000002E-2</v>
      </c>
      <c r="G182" s="58">
        <v>0</v>
      </c>
      <c r="H182" s="58">
        <v>0</v>
      </c>
      <c r="I182" s="58">
        <v>0</v>
      </c>
      <c r="J182" s="58">
        <v>0</v>
      </c>
      <c r="K182" s="58">
        <v>0</v>
      </c>
      <c r="L182" s="58">
        <v>0</v>
      </c>
      <c r="M182" s="58">
        <v>0</v>
      </c>
      <c r="N182" s="58"/>
      <c r="O182" s="57"/>
    </row>
    <row r="183" spans="2:15" x14ac:dyDescent="0.25">
      <c r="B183" s="41" t="s">
        <v>188</v>
      </c>
      <c r="C183" s="58">
        <v>4.0000000000000001E-3</v>
      </c>
      <c r="D183" s="58">
        <v>-1E-3</v>
      </c>
      <c r="E183" s="58">
        <v>-4.0000000000000001E-3</v>
      </c>
      <c r="F183" s="58">
        <v>0</v>
      </c>
      <c r="G183" s="58">
        <v>0</v>
      </c>
      <c r="H183" s="58">
        <v>0</v>
      </c>
      <c r="I183" s="58">
        <v>0</v>
      </c>
      <c r="J183" s="58">
        <v>0</v>
      </c>
      <c r="K183" s="58">
        <v>0</v>
      </c>
      <c r="L183" s="58">
        <v>0</v>
      </c>
      <c r="M183" s="58">
        <v>0</v>
      </c>
      <c r="N183" s="58"/>
      <c r="O183" s="57"/>
    </row>
    <row r="184" spans="2:15" x14ac:dyDescent="0.25">
      <c r="B184" s="41" t="s">
        <v>189</v>
      </c>
      <c r="C184" s="58">
        <v>0</v>
      </c>
      <c r="D184" s="58">
        <v>-5.2999999999999999E-2</v>
      </c>
      <c r="E184" s="58">
        <v>0</v>
      </c>
      <c r="F184" s="58">
        <v>0</v>
      </c>
      <c r="G184" s="58">
        <v>0</v>
      </c>
      <c r="H184" s="58">
        <v>0</v>
      </c>
      <c r="I184" s="58">
        <v>0</v>
      </c>
      <c r="J184" s="58">
        <v>0</v>
      </c>
      <c r="K184" s="58">
        <v>0</v>
      </c>
      <c r="L184" s="58">
        <v>0</v>
      </c>
      <c r="M184" s="58">
        <v>0</v>
      </c>
      <c r="N184" s="58"/>
      <c r="O184" s="57"/>
    </row>
    <row r="185" spans="2:15" x14ac:dyDescent="0.25">
      <c r="B185" s="41" t="s">
        <v>163</v>
      </c>
      <c r="C185" s="58">
        <v>0</v>
      </c>
      <c r="D185" s="58">
        <v>0</v>
      </c>
      <c r="E185" s="58">
        <v>0.90300000000000002</v>
      </c>
      <c r="F185" s="58">
        <v>0</v>
      </c>
      <c r="G185" s="58">
        <v>0</v>
      </c>
      <c r="H185" s="58">
        <v>1.694</v>
      </c>
      <c r="I185" s="58">
        <v>4.9000000000000002E-2</v>
      </c>
      <c r="J185" s="58">
        <v>0</v>
      </c>
      <c r="K185" s="58">
        <v>0</v>
      </c>
      <c r="L185" s="58">
        <v>0</v>
      </c>
      <c r="M185" s="58">
        <v>0</v>
      </c>
      <c r="N185" s="58">
        <v>21.417999999999999</v>
      </c>
      <c r="O185" s="57"/>
    </row>
    <row r="186" spans="2:15" x14ac:dyDescent="0.25">
      <c r="B186" s="41" t="s">
        <v>165</v>
      </c>
      <c r="C186" s="58">
        <v>0</v>
      </c>
      <c r="D186" s="58">
        <v>0</v>
      </c>
      <c r="E186" s="58">
        <v>0</v>
      </c>
      <c r="F186" s="58">
        <v>0</v>
      </c>
      <c r="G186" s="58">
        <v>0</v>
      </c>
      <c r="H186" s="58">
        <v>-1.7999999999999999E-2</v>
      </c>
      <c r="I186" s="58">
        <v>0</v>
      </c>
      <c r="J186" s="58">
        <v>0</v>
      </c>
      <c r="K186" s="58">
        <v>0</v>
      </c>
      <c r="L186" s="58">
        <v>0</v>
      </c>
      <c r="M186" s="58">
        <v>0</v>
      </c>
      <c r="N186" s="58"/>
      <c r="O186" s="57"/>
    </row>
    <row r="187" spans="2:15" x14ac:dyDescent="0.25">
      <c r="B187" s="41" t="s">
        <v>168</v>
      </c>
      <c r="C187" s="58">
        <v>0</v>
      </c>
      <c r="D187" s="58">
        <v>0</v>
      </c>
      <c r="E187" s="58">
        <v>0</v>
      </c>
      <c r="F187" s="58">
        <v>0</v>
      </c>
      <c r="G187" s="58">
        <v>0.95499999999999996</v>
      </c>
      <c r="H187" s="58">
        <v>0</v>
      </c>
      <c r="I187" s="58">
        <v>0</v>
      </c>
      <c r="J187" s="58">
        <v>0</v>
      </c>
      <c r="K187" s="58">
        <v>0</v>
      </c>
      <c r="L187" s="58">
        <v>0</v>
      </c>
      <c r="M187" s="58">
        <v>0</v>
      </c>
      <c r="N187" s="58"/>
      <c r="O187" s="57"/>
    </row>
    <row r="188" spans="2:15" x14ac:dyDescent="0.25">
      <c r="B188" s="41" t="s">
        <v>198</v>
      </c>
      <c r="C188" s="58">
        <v>-1.1859999999999999</v>
      </c>
      <c r="D188" s="58">
        <v>0</v>
      </c>
      <c r="E188" s="58">
        <v>0</v>
      </c>
      <c r="F188" s="58">
        <v>4.9000000000000002E-2</v>
      </c>
      <c r="G188" s="58">
        <v>0</v>
      </c>
      <c r="H188" s="58">
        <v>0</v>
      </c>
      <c r="I188" s="58">
        <v>0</v>
      </c>
      <c r="J188" s="58">
        <v>0</v>
      </c>
      <c r="K188" s="58">
        <v>0</v>
      </c>
      <c r="L188" s="58">
        <v>0</v>
      </c>
      <c r="M188" s="58">
        <v>0</v>
      </c>
      <c r="N188" s="58"/>
      <c r="O188" s="57"/>
    </row>
    <row r="189" spans="2:15" x14ac:dyDescent="0.25">
      <c r="B189" s="41" t="s">
        <v>144</v>
      </c>
      <c r="C189" s="58">
        <v>0</v>
      </c>
      <c r="D189" s="58">
        <v>0</v>
      </c>
      <c r="E189" s="58">
        <v>0</v>
      </c>
      <c r="F189" s="58">
        <v>0</v>
      </c>
      <c r="G189" s="58">
        <v>0</v>
      </c>
      <c r="H189" s="58">
        <v>0</v>
      </c>
      <c r="I189" s="118"/>
      <c r="J189" s="58">
        <v>-6.6920000000000002</v>
      </c>
      <c r="K189" s="58">
        <v>-11.545999999999999</v>
      </c>
      <c r="L189" s="58">
        <v>1.278</v>
      </c>
      <c r="M189" s="58">
        <v>-3.09</v>
      </c>
      <c r="N189" s="58">
        <v>6.2629999999999999</v>
      </c>
      <c r="O189" s="57"/>
    </row>
    <row r="190" spans="2:15" x14ac:dyDescent="0.25">
      <c r="B190" s="41" t="s">
        <v>199</v>
      </c>
      <c r="C190" s="58">
        <v>-3.6999999999999998E-2</v>
      </c>
      <c r="D190" s="58">
        <v>0</v>
      </c>
      <c r="E190" s="58">
        <v>0</v>
      </c>
      <c r="F190" s="58">
        <v>0</v>
      </c>
      <c r="G190" s="58">
        <v>0</v>
      </c>
      <c r="H190" s="58">
        <v>0</v>
      </c>
      <c r="I190" s="58">
        <v>0</v>
      </c>
      <c r="J190" s="58">
        <v>0</v>
      </c>
      <c r="K190" s="58">
        <v>0</v>
      </c>
      <c r="L190" s="58">
        <v>0</v>
      </c>
      <c r="M190" s="58">
        <v>0</v>
      </c>
      <c r="N190" s="58"/>
      <c r="O190" s="57"/>
    </row>
    <row r="191" spans="2:15" x14ac:dyDescent="0.25">
      <c r="B191" s="41" t="s">
        <v>246</v>
      </c>
      <c r="C191" s="58">
        <v>0</v>
      </c>
      <c r="D191" s="58">
        <v>0</v>
      </c>
      <c r="E191" s="58">
        <v>0</v>
      </c>
      <c r="F191" s="58">
        <v>0</v>
      </c>
      <c r="G191" s="58">
        <v>0</v>
      </c>
      <c r="H191" s="58">
        <v>0</v>
      </c>
      <c r="I191" s="58">
        <v>0</v>
      </c>
      <c r="J191" s="58">
        <v>0</v>
      </c>
      <c r="K191" s="58">
        <v>0</v>
      </c>
      <c r="L191" s="58">
        <v>0</v>
      </c>
      <c r="M191" s="58">
        <v>0</v>
      </c>
      <c r="N191" s="58">
        <v>3.9E-2</v>
      </c>
      <c r="O191" s="57"/>
    </row>
    <row r="192" spans="2:15" x14ac:dyDescent="0.25">
      <c r="B192" s="41" t="s">
        <v>233</v>
      </c>
      <c r="C192" s="58">
        <v>0</v>
      </c>
      <c r="D192" s="58">
        <v>0</v>
      </c>
      <c r="E192" s="58">
        <v>0</v>
      </c>
      <c r="F192" s="58">
        <v>0</v>
      </c>
      <c r="G192" s="58">
        <v>0</v>
      </c>
      <c r="H192" s="58">
        <v>0</v>
      </c>
      <c r="I192" s="58">
        <v>0</v>
      </c>
      <c r="J192" s="58">
        <v>0</v>
      </c>
      <c r="K192" s="58">
        <v>0</v>
      </c>
      <c r="L192" s="58">
        <v>0</v>
      </c>
      <c r="M192" s="58">
        <v>1.2050000000000001</v>
      </c>
      <c r="N192" s="58">
        <v>2.726</v>
      </c>
      <c r="O192" s="57"/>
    </row>
    <row r="193" spans="2:15" x14ac:dyDescent="0.25">
      <c r="B193" s="41" t="s">
        <v>234</v>
      </c>
      <c r="C193" s="58">
        <v>0</v>
      </c>
      <c r="D193" s="58">
        <v>0</v>
      </c>
      <c r="E193" s="58">
        <v>0</v>
      </c>
      <c r="F193" s="58">
        <v>0</v>
      </c>
      <c r="G193" s="58">
        <v>0</v>
      </c>
      <c r="H193" s="58">
        <v>0</v>
      </c>
      <c r="I193" s="58">
        <v>0</v>
      </c>
      <c r="J193" s="58">
        <v>0</v>
      </c>
      <c r="K193" s="58">
        <v>0</v>
      </c>
      <c r="L193" s="58">
        <v>0</v>
      </c>
      <c r="M193" s="58">
        <v>-6.9480000000000004</v>
      </c>
      <c r="N193" s="58">
        <v>0</v>
      </c>
      <c r="O193" s="57"/>
    </row>
    <row r="194" spans="2:15" x14ac:dyDescent="0.25">
      <c r="B194" s="79" t="s">
        <v>145</v>
      </c>
      <c r="C194" s="58">
        <v>0.68500000000000005</v>
      </c>
      <c r="D194" s="58">
        <v>0.28599999999999998</v>
      </c>
      <c r="E194" s="58">
        <v>0.16200000000000001</v>
      </c>
      <c r="F194" s="58">
        <v>1.0999999999999999E-2</v>
      </c>
      <c r="G194" s="58">
        <v>0.17899999999999999</v>
      </c>
      <c r="H194" s="58">
        <v>2E-3</v>
      </c>
      <c r="I194" s="58">
        <v>-4.7E-2</v>
      </c>
      <c r="J194" s="58">
        <v>0</v>
      </c>
      <c r="K194" s="58">
        <v>2.5000000000000001E-2</v>
      </c>
      <c r="L194" s="58">
        <v>-1.492</v>
      </c>
      <c r="M194" s="58">
        <v>-8.5000000000000006E-2</v>
      </c>
      <c r="N194" s="58">
        <v>0</v>
      </c>
      <c r="O194" s="57"/>
    </row>
    <row r="195" spans="2:15" ht="17.649999999999999" customHeight="1" x14ac:dyDescent="0.25">
      <c r="B195" s="19" t="s">
        <v>23</v>
      </c>
      <c r="C195" s="62">
        <f t="shared" ref="C195" si="46">SUM(C160:C194)</f>
        <v>-10.693000000000001</v>
      </c>
      <c r="D195" s="62">
        <f t="shared" ref="D195" si="47">SUM(D160:D194)</f>
        <v>-4.7139999999999995</v>
      </c>
      <c r="E195" s="62">
        <f t="shared" ref="E195" si="48">SUM(E160:E194)</f>
        <v>14.890000000000006</v>
      </c>
      <c r="F195" s="62">
        <f t="shared" ref="F195:J195" si="49">SUM(F160:F194)</f>
        <v>39.51100000000001</v>
      </c>
      <c r="G195" s="62">
        <f t="shared" si="49"/>
        <v>56.302000000000014</v>
      </c>
      <c r="H195" s="62">
        <f t="shared" si="49"/>
        <v>62.539000000000001</v>
      </c>
      <c r="I195" s="62">
        <f t="shared" si="49"/>
        <v>64.617000000000004</v>
      </c>
      <c r="J195" s="62">
        <f t="shared" si="49"/>
        <v>200.25499999999991</v>
      </c>
      <c r="K195" s="62">
        <f>SUM(K160:K194)</f>
        <v>56.935000000000031</v>
      </c>
      <c r="L195" s="62">
        <f>SUM(L160:L194)</f>
        <v>72.245000000000005</v>
      </c>
      <c r="M195" s="62">
        <f>SUM(M160:M194)</f>
        <v>66.396000000000058</v>
      </c>
      <c r="N195" s="62">
        <f>SUM(N160:N194)</f>
        <v>188.00100000000003</v>
      </c>
      <c r="O195" s="67"/>
    </row>
    <row r="196" spans="2:15" ht="15" customHeight="1" x14ac:dyDescent="0.25">
      <c r="B196" s="53" t="s">
        <v>24</v>
      </c>
      <c r="C196" s="58">
        <f t="shared" ref="C196:E196" si="50">+SUM(C197:C202)</f>
        <v>4.0600000000000005</v>
      </c>
      <c r="D196" s="58">
        <f t="shared" si="50"/>
        <v>11.720999999999998</v>
      </c>
      <c r="E196" s="58">
        <f t="shared" si="50"/>
        <v>-0.68900000000000006</v>
      </c>
      <c r="F196" s="58">
        <f>+SUM(F197:F202)</f>
        <v>-5.7299999999999995</v>
      </c>
      <c r="G196" s="58">
        <f t="shared" ref="G196:N196" si="51">+SUM(G197:G202)</f>
        <v>4.2320000000000002</v>
      </c>
      <c r="H196" s="58">
        <f t="shared" si="51"/>
        <v>-19.259999999999998</v>
      </c>
      <c r="I196" s="58">
        <f t="shared" si="51"/>
        <v>-0.85500000000000043</v>
      </c>
      <c r="J196" s="58">
        <f t="shared" si="51"/>
        <v>-24.754999999999999</v>
      </c>
      <c r="K196" s="58">
        <f t="shared" si="51"/>
        <v>-13.959999999999999</v>
      </c>
      <c r="L196" s="58">
        <f t="shared" si="51"/>
        <v>0.31800000000000073</v>
      </c>
      <c r="M196" s="58">
        <f t="shared" si="51"/>
        <v>-11.044000000000002</v>
      </c>
      <c r="N196" s="58">
        <f t="shared" si="51"/>
        <v>26.776999999999997</v>
      </c>
      <c r="O196" s="57"/>
    </row>
    <row r="197" spans="2:15" ht="15" customHeight="1" x14ac:dyDescent="0.25">
      <c r="B197" s="112" t="s">
        <v>127</v>
      </c>
      <c r="C197" s="111">
        <v>0</v>
      </c>
      <c r="D197" s="111">
        <v>0</v>
      </c>
      <c r="E197" s="111">
        <v>-6.1950000000000003</v>
      </c>
      <c r="F197" s="111">
        <v>-7.4790000000000001</v>
      </c>
      <c r="G197" s="111">
        <v>2.8519999999999999</v>
      </c>
      <c r="H197" s="111">
        <v>-10.507999999999999</v>
      </c>
      <c r="I197" s="111">
        <v>-2.246</v>
      </c>
      <c r="J197" s="111">
        <v>-1.2050000000000001</v>
      </c>
      <c r="K197" s="111">
        <v>-14.06</v>
      </c>
      <c r="L197" s="111">
        <v>5.5270000000000001</v>
      </c>
      <c r="M197" s="111">
        <v>-14.958</v>
      </c>
      <c r="N197" s="111">
        <v>17.341999999999999</v>
      </c>
      <c r="O197" s="57"/>
    </row>
    <row r="198" spans="2:15" ht="15" customHeight="1" x14ac:dyDescent="0.25">
      <c r="B198" s="112" t="s">
        <v>124</v>
      </c>
      <c r="C198" s="111">
        <v>-1.502</v>
      </c>
      <c r="D198" s="111">
        <v>-14.406000000000001</v>
      </c>
      <c r="E198" s="111">
        <v>-13.218</v>
      </c>
      <c r="F198" s="111">
        <v>-2.653</v>
      </c>
      <c r="G198" s="111">
        <v>11.696999999999999</v>
      </c>
      <c r="H198" s="111">
        <v>-9.9109999999999996</v>
      </c>
      <c r="I198" s="111">
        <v>-10.356</v>
      </c>
      <c r="J198" s="111">
        <v>-8.8070000000000004</v>
      </c>
      <c r="K198" s="111">
        <v>-24.471</v>
      </c>
      <c r="L198" s="111">
        <v>10.917999999999999</v>
      </c>
      <c r="M198" s="111">
        <v>-1.2470000000000001</v>
      </c>
      <c r="N198" s="111">
        <v>-1.5</v>
      </c>
      <c r="O198" s="57"/>
    </row>
    <row r="199" spans="2:15" ht="15" customHeight="1" x14ac:dyDescent="0.25">
      <c r="B199" s="112" t="s">
        <v>175</v>
      </c>
      <c r="C199" s="111">
        <v>0</v>
      </c>
      <c r="D199" s="111">
        <v>0</v>
      </c>
      <c r="E199" s="111">
        <v>0</v>
      </c>
      <c r="F199" s="111">
        <v>-0.215</v>
      </c>
      <c r="G199" s="111"/>
      <c r="H199" s="111"/>
      <c r="I199" s="111"/>
      <c r="J199" s="111"/>
      <c r="K199" s="111"/>
      <c r="L199" s="111"/>
      <c r="M199" s="111"/>
      <c r="N199" s="111"/>
      <c r="O199" s="57"/>
    </row>
    <row r="200" spans="2:15" ht="15" customHeight="1" x14ac:dyDescent="0.25">
      <c r="B200" s="112" t="s">
        <v>131</v>
      </c>
      <c r="C200" s="111">
        <v>5.5620000000000003</v>
      </c>
      <c r="D200" s="111">
        <v>26.126999999999999</v>
      </c>
      <c r="E200" s="111">
        <v>18.724</v>
      </c>
      <c r="F200" s="111">
        <v>5.35</v>
      </c>
      <c r="G200" s="111">
        <v>-10.334</v>
      </c>
      <c r="H200" s="111">
        <v>1.159</v>
      </c>
      <c r="I200" s="111">
        <v>11.747</v>
      </c>
      <c r="J200" s="111">
        <v>-14.4</v>
      </c>
      <c r="K200" s="111">
        <v>24.661999999999999</v>
      </c>
      <c r="L200" s="111">
        <v>-14.923999999999999</v>
      </c>
      <c r="M200" s="111">
        <v>5.5949999999999998</v>
      </c>
      <c r="N200" s="111">
        <v>11.904</v>
      </c>
      <c r="O200" s="57"/>
    </row>
    <row r="201" spans="2:15" ht="15" customHeight="1" x14ac:dyDescent="0.25">
      <c r="B201" s="112" t="s">
        <v>161</v>
      </c>
      <c r="C201" s="111">
        <v>0</v>
      </c>
      <c r="D201" s="111">
        <v>0</v>
      </c>
      <c r="E201" s="111">
        <v>0</v>
      </c>
      <c r="F201" s="111">
        <v>0</v>
      </c>
      <c r="G201" s="111">
        <v>1.7000000000000001E-2</v>
      </c>
      <c r="H201" s="111"/>
      <c r="I201" s="111"/>
      <c r="J201" s="111"/>
      <c r="K201" s="111"/>
      <c r="L201" s="111"/>
      <c r="M201" s="111"/>
      <c r="N201" s="111"/>
      <c r="O201" s="57"/>
    </row>
    <row r="202" spans="2:15" ht="15" customHeight="1" x14ac:dyDescent="0.25">
      <c r="B202" s="112" t="s">
        <v>132</v>
      </c>
      <c r="C202" s="111">
        <v>0</v>
      </c>
      <c r="D202" s="111">
        <v>0</v>
      </c>
      <c r="E202" s="111">
        <v>0</v>
      </c>
      <c r="F202" s="111">
        <v>-0.73299999999999998</v>
      </c>
      <c r="G202" s="111">
        <v>0</v>
      </c>
      <c r="H202" s="111">
        <v>0</v>
      </c>
      <c r="I202" s="111">
        <v>0</v>
      </c>
      <c r="J202" s="111">
        <v>-0.34300000000000003</v>
      </c>
      <c r="K202" s="111">
        <v>-9.0999999999999998E-2</v>
      </c>
      <c r="L202" s="111">
        <v>-1.2030000000000001</v>
      </c>
      <c r="M202" s="111">
        <v>-0.434</v>
      </c>
      <c r="N202" s="111">
        <v>-0.96899999999999997</v>
      </c>
      <c r="O202" s="57"/>
    </row>
    <row r="203" spans="2:15" ht="15" customHeight="1" x14ac:dyDescent="0.25">
      <c r="B203" s="53" t="s">
        <v>190</v>
      </c>
      <c r="C203" s="58">
        <v>0</v>
      </c>
      <c r="D203" s="58">
        <v>-0.16400000000000001</v>
      </c>
      <c r="E203" s="58">
        <v>0</v>
      </c>
      <c r="F203" s="58">
        <v>0</v>
      </c>
      <c r="G203" s="58">
        <v>0</v>
      </c>
      <c r="H203" s="58">
        <v>-8.0000000000000002E-3</v>
      </c>
      <c r="I203" s="58">
        <v>-1.7000000000000001E-2</v>
      </c>
      <c r="J203" s="58">
        <v>-1.0999999999999999E-2</v>
      </c>
      <c r="K203" s="58">
        <v>-0.02</v>
      </c>
      <c r="L203" s="58">
        <v>-2.5000000000000001E-2</v>
      </c>
      <c r="M203" s="58">
        <v>-0.03</v>
      </c>
      <c r="N203" s="58">
        <v>-2.1000000000000001E-2</v>
      </c>
      <c r="O203" s="57"/>
    </row>
    <row r="204" spans="2:15" ht="15" customHeight="1" x14ac:dyDescent="0.25">
      <c r="B204" s="53" t="s">
        <v>146</v>
      </c>
      <c r="C204" s="58">
        <v>-0.36899999999999999</v>
      </c>
      <c r="D204" s="58">
        <v>-0.76800000000000002</v>
      </c>
      <c r="E204" s="58">
        <v>-0.39500000000000002</v>
      </c>
      <c r="F204" s="58">
        <v>-0.67100000000000004</v>
      </c>
      <c r="G204" s="58">
        <v>-0.214</v>
      </c>
      <c r="H204" s="58">
        <v>-4.1000000000000002E-2</v>
      </c>
      <c r="I204" s="58">
        <v>-0.18</v>
      </c>
      <c r="J204" s="58">
        <v>-0.84599999999999997</v>
      </c>
      <c r="K204" s="58">
        <v>-1.0249999999999999</v>
      </c>
      <c r="L204" s="58">
        <v>-2.6070000000000002</v>
      </c>
      <c r="M204" s="58">
        <v>-1.131</v>
      </c>
      <c r="N204" s="58">
        <v>-1.238</v>
      </c>
      <c r="O204" s="57"/>
    </row>
    <row r="205" spans="2:15" ht="15" customHeight="1" x14ac:dyDescent="0.25">
      <c r="B205" s="53" t="s">
        <v>147</v>
      </c>
      <c r="C205" s="58">
        <v>-3.4000000000000002E-2</v>
      </c>
      <c r="D205" s="58">
        <v>-2.1000000000000001E-2</v>
      </c>
      <c r="E205" s="58">
        <v>-1.7000000000000001E-2</v>
      </c>
      <c r="F205" s="58">
        <v>-2.61</v>
      </c>
      <c r="G205" s="58">
        <v>-4.9870000000000001</v>
      </c>
      <c r="H205" s="58">
        <v>-5.2960000000000003</v>
      </c>
      <c r="I205" s="58">
        <v>-4.4749999999999996</v>
      </c>
      <c r="J205" s="58">
        <v>-25.802</v>
      </c>
      <c r="K205" s="58">
        <v>-3.427</v>
      </c>
      <c r="L205" s="58">
        <v>-5.1879999999999997</v>
      </c>
      <c r="M205" s="58">
        <v>-0.78800000000000003</v>
      </c>
      <c r="N205" s="58">
        <v>-21.036000000000001</v>
      </c>
      <c r="O205" s="57"/>
    </row>
    <row r="206" spans="2:15" ht="18" x14ac:dyDescent="0.25">
      <c r="B206" s="19" t="s">
        <v>25</v>
      </c>
      <c r="C206" s="62">
        <f t="shared" ref="C206:K206" si="52">+SUM(C195:C196,C203:C205)</f>
        <v>-7.0360000000000005</v>
      </c>
      <c r="D206" s="62">
        <f t="shared" si="52"/>
        <v>6.0539999999999994</v>
      </c>
      <c r="E206" s="62">
        <f t="shared" si="52"/>
        <v>13.789000000000007</v>
      </c>
      <c r="F206" s="62">
        <f>+SUM(F195:F196,F203:F205)</f>
        <v>30.500000000000014</v>
      </c>
      <c r="G206" s="62">
        <f t="shared" si="52"/>
        <v>55.333000000000013</v>
      </c>
      <c r="H206" s="62">
        <f t="shared" si="52"/>
        <v>37.934000000000005</v>
      </c>
      <c r="I206" s="62">
        <f t="shared" si="52"/>
        <v>59.089999999999996</v>
      </c>
      <c r="J206" s="62">
        <f t="shared" si="52"/>
        <v>148.84099999999992</v>
      </c>
      <c r="K206" s="62">
        <f t="shared" si="52"/>
        <v>38.503000000000029</v>
      </c>
      <c r="L206" s="62">
        <f>+SUM(L195:L196,L203:L205)</f>
        <v>64.742999999999995</v>
      </c>
      <c r="M206" s="62">
        <f>+SUM(M195:M196,M203:M205)</f>
        <v>53.403000000000056</v>
      </c>
      <c r="N206" s="62">
        <f>+SUM(N195:N196,N203:N205)</f>
        <v>192.48300000000003</v>
      </c>
      <c r="O206" s="67"/>
    </row>
    <row r="207" spans="2:15" s="54" customFormat="1" ht="15" customHeight="1" x14ac:dyDescent="0.2">
      <c r="B207" s="80" t="s">
        <v>148</v>
      </c>
      <c r="C207" s="58">
        <v>-12.384</v>
      </c>
      <c r="D207" s="58">
        <v>-99.29</v>
      </c>
      <c r="E207" s="58">
        <v>-29.995000000000001</v>
      </c>
      <c r="F207" s="58">
        <v>-20.22</v>
      </c>
      <c r="G207" s="58">
        <v>-63.216000000000001</v>
      </c>
      <c r="H207" s="58">
        <v>-56.453000000000003</v>
      </c>
      <c r="I207" s="58">
        <v>-27.045999999999999</v>
      </c>
      <c r="J207" s="58">
        <v>-32.44</v>
      </c>
      <c r="K207" s="58">
        <v>-52.65</v>
      </c>
      <c r="L207" s="58">
        <v>-53.837000000000003</v>
      </c>
      <c r="M207" s="58">
        <v>-60.212000000000003</v>
      </c>
      <c r="N207" s="58">
        <v>-72.165000000000006</v>
      </c>
      <c r="O207" s="160" t="s">
        <v>237</v>
      </c>
    </row>
    <row r="208" spans="2:15" s="54" customFormat="1" ht="15" customHeight="1" x14ac:dyDescent="0.2">
      <c r="B208" s="80" t="s">
        <v>149</v>
      </c>
      <c r="C208" s="58">
        <v>-2.8340000000000001</v>
      </c>
      <c r="D208" s="58">
        <v>-2.5030000000000001</v>
      </c>
      <c r="E208" s="58">
        <v>-1.3340000000000001</v>
      </c>
      <c r="F208" s="58">
        <v>-2.694</v>
      </c>
      <c r="G208" s="58">
        <v>-2.492</v>
      </c>
      <c r="H208" s="58">
        <v>-5.4489999999999998</v>
      </c>
      <c r="I208" s="58">
        <v>-3.3109999999999999</v>
      </c>
      <c r="J208" s="58">
        <v>-2.1480000000000001</v>
      </c>
      <c r="K208" s="58">
        <v>-0.94399999999999995</v>
      </c>
      <c r="L208" s="58">
        <v>-0.46</v>
      </c>
      <c r="M208" s="58">
        <v>-1.198</v>
      </c>
      <c r="N208" s="58">
        <v>-9.4830000000000005</v>
      </c>
      <c r="O208" s="71"/>
    </row>
    <row r="209" spans="2:15" s="54" customFormat="1" ht="15" customHeight="1" x14ac:dyDescent="0.2">
      <c r="B209" s="80" t="s">
        <v>166</v>
      </c>
      <c r="C209" s="58">
        <v>0</v>
      </c>
      <c r="D209" s="58">
        <v>0</v>
      </c>
      <c r="E209" s="58">
        <v>0</v>
      </c>
      <c r="F209" s="58">
        <v>0</v>
      </c>
      <c r="G209" s="58">
        <v>0</v>
      </c>
      <c r="H209" s="58">
        <v>-0.501</v>
      </c>
      <c r="I209" s="58">
        <v>0</v>
      </c>
      <c r="J209" s="58">
        <v>0</v>
      </c>
      <c r="K209" s="58">
        <v>0</v>
      </c>
      <c r="L209" s="58">
        <v>0</v>
      </c>
      <c r="M209" s="58">
        <v>0</v>
      </c>
      <c r="N209" s="58">
        <v>0</v>
      </c>
      <c r="O209" s="71"/>
    </row>
    <row r="210" spans="2:15" s="54" customFormat="1" ht="15" customHeight="1" x14ac:dyDescent="0.2">
      <c r="B210" s="80" t="s">
        <v>176</v>
      </c>
      <c r="C210" s="58">
        <v>8.0000000000000002E-3</v>
      </c>
      <c r="D210" s="58">
        <v>1E-3</v>
      </c>
      <c r="E210" s="58">
        <v>1.6E-2</v>
      </c>
      <c r="F210" s="58">
        <v>8.9999999999999993E-3</v>
      </c>
      <c r="G210" s="58">
        <v>0</v>
      </c>
      <c r="H210" s="58">
        <v>0</v>
      </c>
      <c r="I210" s="58">
        <v>0</v>
      </c>
      <c r="J210" s="58">
        <v>0</v>
      </c>
      <c r="K210" s="58">
        <v>0</v>
      </c>
      <c r="L210" s="58">
        <v>0</v>
      </c>
      <c r="M210" s="58">
        <v>0</v>
      </c>
      <c r="N210" s="58">
        <v>0</v>
      </c>
      <c r="O210" s="71"/>
    </row>
    <row r="211" spans="2:15" s="54" customFormat="1" ht="15" customHeight="1" x14ac:dyDescent="0.2">
      <c r="B211" s="80" t="s">
        <v>197</v>
      </c>
      <c r="C211" s="58">
        <v>3.6999999999999998E-2</v>
      </c>
      <c r="D211" s="58">
        <v>0</v>
      </c>
      <c r="E211" s="58">
        <v>0</v>
      </c>
      <c r="F211" s="58">
        <v>0</v>
      </c>
      <c r="G211" s="58">
        <v>0</v>
      </c>
      <c r="H211" s="58">
        <v>0</v>
      </c>
      <c r="I211" s="58">
        <v>0</v>
      </c>
      <c r="J211" s="58">
        <v>0</v>
      </c>
      <c r="K211" s="58">
        <v>0</v>
      </c>
      <c r="L211" s="58">
        <v>0</v>
      </c>
      <c r="M211" s="58">
        <v>0</v>
      </c>
      <c r="N211" s="58">
        <v>0</v>
      </c>
      <c r="O211" s="71"/>
    </row>
    <row r="212" spans="2:15" s="54" customFormat="1" ht="15" customHeight="1" x14ac:dyDescent="0.2">
      <c r="B212" s="80" t="s">
        <v>169</v>
      </c>
      <c r="C212" s="58">
        <v>0</v>
      </c>
      <c r="D212" s="58">
        <v>8.7999999999999995E-2</v>
      </c>
      <c r="E212" s="58">
        <v>0</v>
      </c>
      <c r="F212" s="58">
        <v>0</v>
      </c>
      <c r="G212" s="58">
        <v>-7.4999999999999997E-2</v>
      </c>
      <c r="H212" s="58">
        <v>0</v>
      </c>
      <c r="I212" s="58">
        <v>0</v>
      </c>
      <c r="J212" s="58">
        <v>0</v>
      </c>
      <c r="K212" s="58">
        <v>0</v>
      </c>
      <c r="L212" s="58">
        <v>0</v>
      </c>
      <c r="M212" s="58">
        <v>0</v>
      </c>
      <c r="N212" s="58">
        <v>0</v>
      </c>
      <c r="O212" s="71"/>
    </row>
    <row r="213" spans="2:15" s="54" customFormat="1" ht="15" customHeight="1" x14ac:dyDescent="0.2">
      <c r="B213" s="80" t="s">
        <v>160</v>
      </c>
      <c r="C213" s="58">
        <v>0</v>
      </c>
      <c r="D213" s="58">
        <v>0</v>
      </c>
      <c r="E213" s="58">
        <v>0</v>
      </c>
      <c r="F213" s="58">
        <v>0</v>
      </c>
      <c r="G213" s="58">
        <v>0</v>
      </c>
      <c r="H213" s="58">
        <v>0</v>
      </c>
      <c r="I213" s="58">
        <v>0</v>
      </c>
      <c r="J213" s="58">
        <v>-53</v>
      </c>
      <c r="K213" s="58">
        <v>0</v>
      </c>
      <c r="L213" s="58">
        <v>0</v>
      </c>
      <c r="M213" s="58">
        <v>0</v>
      </c>
      <c r="N213" s="58">
        <v>0</v>
      </c>
      <c r="O213" s="71"/>
    </row>
    <row r="214" spans="2:15" s="54" customFormat="1" ht="15" customHeight="1" x14ac:dyDescent="0.2">
      <c r="B214" s="80" t="s">
        <v>235</v>
      </c>
      <c r="C214" s="58"/>
      <c r="D214" s="58"/>
      <c r="E214" s="58"/>
      <c r="F214" s="58"/>
      <c r="G214" s="58"/>
      <c r="H214" s="58"/>
      <c r="I214" s="58"/>
      <c r="J214" s="58"/>
      <c r="K214" s="58"/>
      <c r="L214" s="58"/>
      <c r="M214" s="58">
        <v>-5.3049999999999997</v>
      </c>
      <c r="N214" s="58">
        <v>-4.0570000000000004</v>
      </c>
      <c r="O214" s="71"/>
    </row>
    <row r="215" spans="2:15" s="54" customFormat="1" ht="15" customHeight="1" x14ac:dyDescent="0.2">
      <c r="B215" s="80" t="s">
        <v>173</v>
      </c>
      <c r="C215" s="58">
        <v>0</v>
      </c>
      <c r="D215" s="58">
        <v>0</v>
      </c>
      <c r="E215" s="58">
        <v>0</v>
      </c>
      <c r="F215" s="58">
        <v>0.20499999999999999</v>
      </c>
      <c r="G215" s="58">
        <v>0</v>
      </c>
      <c r="H215" s="58">
        <v>0</v>
      </c>
      <c r="I215" s="58">
        <v>0</v>
      </c>
      <c r="J215" s="58">
        <v>0</v>
      </c>
      <c r="K215" s="58">
        <v>0</v>
      </c>
      <c r="L215" s="58">
        <v>0</v>
      </c>
      <c r="M215" s="58">
        <v>0</v>
      </c>
      <c r="N215" s="58">
        <v>0</v>
      </c>
      <c r="O215" s="71"/>
    </row>
    <row r="216" spans="2:15" s="54" customFormat="1" ht="15" customHeight="1" x14ac:dyDescent="0.2">
      <c r="B216" s="80" t="s">
        <v>150</v>
      </c>
      <c r="C216" s="58">
        <v>5.0000000000000001E-3</v>
      </c>
      <c r="D216" s="58">
        <v>3.7999999999999999E-2</v>
      </c>
      <c r="E216" s="58">
        <v>4.1000000000000002E-2</v>
      </c>
      <c r="F216" s="58">
        <v>2.1999999999999999E-2</v>
      </c>
      <c r="G216" s="58">
        <v>7.0999999999999994E-2</v>
      </c>
      <c r="H216" s="58">
        <v>5.1999999999999998E-2</v>
      </c>
      <c r="I216" s="58">
        <v>0.19700000000000001</v>
      </c>
      <c r="J216" s="58">
        <v>5.7000000000000002E-2</v>
      </c>
      <c r="K216" s="58">
        <v>6.5000000000000002E-2</v>
      </c>
      <c r="L216" s="58">
        <v>3.891</v>
      </c>
      <c r="M216" s="58">
        <v>0.64200000000000002</v>
      </c>
      <c r="N216" s="58">
        <v>0.63400000000000001</v>
      </c>
      <c r="O216" s="72"/>
    </row>
    <row r="217" spans="2:15" ht="18" x14ac:dyDescent="0.25">
      <c r="B217" s="19" t="s">
        <v>26</v>
      </c>
      <c r="C217" s="62">
        <f t="shared" ref="C217" si="53">SUM(C207:C216)</f>
        <v>-15.167999999999999</v>
      </c>
      <c r="D217" s="62">
        <f t="shared" ref="D217" si="54">SUM(D207:D216)</f>
        <v>-101.66600000000001</v>
      </c>
      <c r="E217" s="62">
        <f t="shared" ref="E217" si="55">SUM(E207:E216)</f>
        <v>-31.272000000000002</v>
      </c>
      <c r="F217" s="62">
        <f t="shared" ref="F217:J217" si="56">SUM(F207:F216)</f>
        <v>-22.678000000000001</v>
      </c>
      <c r="G217" s="62">
        <f t="shared" si="56"/>
        <v>-65.712000000000003</v>
      </c>
      <c r="H217" s="62">
        <f t="shared" si="56"/>
        <v>-62.350999999999999</v>
      </c>
      <c r="I217" s="62">
        <f t="shared" si="56"/>
        <v>-30.16</v>
      </c>
      <c r="J217" s="62">
        <f t="shared" si="56"/>
        <v>-87.530999999999992</v>
      </c>
      <c r="K217" s="62">
        <f>SUM(K207:K216)</f>
        <v>-53.529000000000003</v>
      </c>
      <c r="L217" s="62">
        <f>SUM(L207:L216)</f>
        <v>-50.406000000000006</v>
      </c>
      <c r="M217" s="62">
        <f>SUM(M207:M216)</f>
        <v>-66.073000000000008</v>
      </c>
      <c r="N217" s="62">
        <f>SUM(N207:N216)</f>
        <v>-85.071000000000012</v>
      </c>
      <c r="O217" s="67"/>
    </row>
    <row r="218" spans="2:15" x14ac:dyDescent="0.25">
      <c r="B218" s="80" t="s">
        <v>151</v>
      </c>
      <c r="C218" s="58">
        <v>0</v>
      </c>
      <c r="D218" s="58">
        <v>0</v>
      </c>
      <c r="E218" s="58">
        <v>0</v>
      </c>
      <c r="F218" s="58">
        <v>0</v>
      </c>
      <c r="G218" s="58">
        <v>0</v>
      </c>
      <c r="H218" s="58">
        <v>-0.57599999999999996</v>
      </c>
      <c r="I218" s="58">
        <v>-0.61799999999999999</v>
      </c>
      <c r="J218" s="58">
        <v>-0.46300000000000002</v>
      </c>
      <c r="K218" s="58">
        <v>-0.61699999999999999</v>
      </c>
      <c r="L218" s="58">
        <v>-0.53600000000000003</v>
      </c>
      <c r="M218" s="58">
        <v>-0.57699999999999996</v>
      </c>
      <c r="N218" s="58">
        <v>-0.56499999999999995</v>
      </c>
      <c r="O218" s="56"/>
    </row>
    <row r="219" spans="2:15" x14ac:dyDescent="0.25">
      <c r="B219" s="80" t="s">
        <v>152</v>
      </c>
      <c r="C219" s="58">
        <v>18.547000000000001</v>
      </c>
      <c r="D219" s="58">
        <v>5.665</v>
      </c>
      <c r="E219" s="58">
        <v>0</v>
      </c>
      <c r="F219" s="58">
        <v>0</v>
      </c>
      <c r="G219" s="58">
        <v>0</v>
      </c>
      <c r="H219" s="58">
        <v>0</v>
      </c>
      <c r="I219" s="58">
        <v>0</v>
      </c>
      <c r="J219" s="58">
        <v>49.445999999999998</v>
      </c>
      <c r="K219" s="58">
        <v>24.484000000000002</v>
      </c>
      <c r="L219" s="58">
        <v>-6.4859999999999998</v>
      </c>
      <c r="M219" s="58">
        <f>3-51.9</f>
        <v>-48.9</v>
      </c>
      <c r="N219" s="58">
        <f>37.916-11.357</f>
        <v>26.558999999999997</v>
      </c>
      <c r="O219" s="57"/>
    </row>
    <row r="220" spans="2:15" x14ac:dyDescent="0.25">
      <c r="B220" s="80" t="s">
        <v>170</v>
      </c>
      <c r="C220" s="58">
        <v>-0.33800000000000002</v>
      </c>
      <c r="D220" s="58">
        <v>-2.92</v>
      </c>
      <c r="E220" s="58">
        <v>0</v>
      </c>
      <c r="F220" s="58">
        <v>-0.84299999999999997</v>
      </c>
      <c r="G220" s="58">
        <v>-5.0000000000000001E-3</v>
      </c>
      <c r="H220" s="58">
        <v>0</v>
      </c>
      <c r="I220" s="58">
        <v>0</v>
      </c>
      <c r="J220" s="58">
        <v>0</v>
      </c>
      <c r="K220" s="58">
        <v>0</v>
      </c>
      <c r="L220" s="58">
        <v>0</v>
      </c>
      <c r="M220" s="58">
        <v>0</v>
      </c>
      <c r="N220" s="58">
        <v>0</v>
      </c>
      <c r="O220" s="57"/>
    </row>
    <row r="221" spans="2:15" x14ac:dyDescent="0.25">
      <c r="B221" s="80" t="s">
        <v>153</v>
      </c>
      <c r="C221" s="58">
        <v>16.411000000000001</v>
      </c>
      <c r="D221" s="58">
        <v>90.435000000000002</v>
      </c>
      <c r="E221" s="58">
        <v>0</v>
      </c>
      <c r="F221" s="58">
        <v>34.741999999999997</v>
      </c>
      <c r="G221" s="58">
        <v>0.59799999999999998</v>
      </c>
      <c r="H221" s="58">
        <v>0</v>
      </c>
      <c r="I221" s="58">
        <v>1.3779999999999999</v>
      </c>
      <c r="J221" s="58">
        <v>0.158</v>
      </c>
      <c r="K221" s="58">
        <v>3.6429999999999998</v>
      </c>
      <c r="L221" s="58">
        <v>0</v>
      </c>
      <c r="M221" s="58">
        <v>2.5219999999999998</v>
      </c>
      <c r="N221" s="58">
        <v>0</v>
      </c>
      <c r="O221" s="57"/>
    </row>
    <row r="222" spans="2:15" x14ac:dyDescent="0.25">
      <c r="B222" s="80" t="s">
        <v>247</v>
      </c>
      <c r="C222" s="58">
        <v>0</v>
      </c>
      <c r="D222" s="58">
        <v>0</v>
      </c>
      <c r="E222" s="58">
        <v>0</v>
      </c>
      <c r="F222" s="58">
        <v>0</v>
      </c>
      <c r="G222" s="58">
        <v>0</v>
      </c>
      <c r="H222" s="58">
        <v>0</v>
      </c>
      <c r="I222" s="58">
        <v>0</v>
      </c>
      <c r="J222" s="58">
        <v>0</v>
      </c>
      <c r="K222" s="58">
        <v>0</v>
      </c>
      <c r="L222" s="58">
        <v>0</v>
      </c>
      <c r="M222" s="58">
        <v>0</v>
      </c>
      <c r="N222" s="58">
        <v>-2.4940000000000002</v>
      </c>
      <c r="O222" s="57"/>
    </row>
    <row r="223" spans="2:15" x14ac:dyDescent="0.25">
      <c r="B223" s="37" t="s">
        <v>154</v>
      </c>
      <c r="C223" s="58">
        <v>0</v>
      </c>
      <c r="D223" s="58">
        <v>0</v>
      </c>
      <c r="E223" s="58">
        <v>0</v>
      </c>
      <c r="F223" s="58">
        <v>0</v>
      </c>
      <c r="G223" s="58">
        <v>0</v>
      </c>
      <c r="H223" s="58">
        <v>0</v>
      </c>
      <c r="I223" s="58">
        <v>0</v>
      </c>
      <c r="J223" s="58">
        <v>-47.29</v>
      </c>
      <c r="K223" s="58">
        <v>-5.0990000000000002</v>
      </c>
      <c r="L223" s="58">
        <v>-11.478</v>
      </c>
      <c r="M223" s="58">
        <v>-10.305999999999999</v>
      </c>
      <c r="N223" s="58">
        <v>-10.055</v>
      </c>
      <c r="O223" s="57"/>
    </row>
    <row r="224" spans="2:15" ht="18" x14ac:dyDescent="0.25">
      <c r="B224" s="19" t="s">
        <v>27</v>
      </c>
      <c r="C224" s="62">
        <f t="shared" ref="C224" si="57">SUM(C218:C223)</f>
        <v>34.620000000000005</v>
      </c>
      <c r="D224" s="62">
        <f t="shared" ref="D224" si="58">SUM(D218:D223)</f>
        <v>93.18</v>
      </c>
      <c r="E224" s="62">
        <f t="shared" ref="E224" si="59">SUM(E218:E223)</f>
        <v>0</v>
      </c>
      <c r="F224" s="62">
        <f t="shared" ref="F224:J224" si="60">SUM(F218:F223)</f>
        <v>33.899000000000001</v>
      </c>
      <c r="G224" s="62">
        <f t="shared" si="60"/>
        <v>0.59299999999999997</v>
      </c>
      <c r="H224" s="62">
        <f t="shared" si="60"/>
        <v>-0.57599999999999996</v>
      </c>
      <c r="I224" s="62">
        <f>SUM(I218:I223)</f>
        <v>0.7599999999999999</v>
      </c>
      <c r="J224" s="62">
        <f t="shared" si="60"/>
        <v>1.8509999999999991</v>
      </c>
      <c r="K224" s="62">
        <f>SUM(K218:K223)</f>
        <v>22.411000000000001</v>
      </c>
      <c r="L224" s="62">
        <f>SUM(L218:L223)</f>
        <v>-18.5</v>
      </c>
      <c r="M224" s="62">
        <f>SUM(M218:M223)</f>
        <v>-57.260999999999996</v>
      </c>
      <c r="N224" s="62">
        <f>SUM(N218:N223)</f>
        <v>13.444999999999997</v>
      </c>
      <c r="O224" s="67"/>
    </row>
    <row r="225" spans="2:15" x14ac:dyDescent="0.25">
      <c r="B225" s="16" t="s">
        <v>51</v>
      </c>
      <c r="C225" s="58"/>
      <c r="D225" s="58"/>
      <c r="E225" s="58"/>
      <c r="F225" s="58"/>
      <c r="G225" s="58"/>
      <c r="H225" s="58"/>
      <c r="I225" s="58"/>
      <c r="J225" s="58">
        <v>6.5890000000000004</v>
      </c>
      <c r="K225" s="58">
        <v>11.545999999999999</v>
      </c>
      <c r="L225" s="58">
        <v>-1.278</v>
      </c>
      <c r="M225" s="58">
        <v>1.802</v>
      </c>
      <c r="N225" s="58">
        <v>-7.4290000000000003</v>
      </c>
      <c r="O225" s="57"/>
    </row>
    <row r="226" spans="2:15" ht="18" x14ac:dyDescent="0.25">
      <c r="B226" s="19"/>
      <c r="C226" s="19"/>
      <c r="D226" s="19"/>
      <c r="E226" s="19"/>
      <c r="F226" s="19"/>
      <c r="G226" s="19"/>
      <c r="H226" s="19"/>
      <c r="I226" s="119"/>
      <c r="J226" s="19"/>
      <c r="K226" s="19"/>
      <c r="L226" s="19"/>
      <c r="M226" s="19"/>
      <c r="N226" s="19"/>
      <c r="O226" s="19"/>
    </row>
    <row r="227" spans="2:15" ht="18" x14ac:dyDescent="0.25">
      <c r="B227" s="19" t="s">
        <v>28</v>
      </c>
      <c r="C227" s="62">
        <f t="shared" ref="C227:K227" si="61">C206+C217+C224+C225</f>
        <v>12.416000000000004</v>
      </c>
      <c r="D227" s="62">
        <f t="shared" si="61"/>
        <v>-2.4320000000000022</v>
      </c>
      <c r="E227" s="62">
        <f t="shared" si="61"/>
        <v>-17.482999999999997</v>
      </c>
      <c r="F227" s="62">
        <f t="shared" si="61"/>
        <v>41.721000000000018</v>
      </c>
      <c r="G227" s="62">
        <f t="shared" si="61"/>
        <v>-9.7859999999999907</v>
      </c>
      <c r="H227" s="62">
        <f t="shared" si="61"/>
        <v>-24.992999999999995</v>
      </c>
      <c r="I227" s="62">
        <f t="shared" si="61"/>
        <v>29.689999999999998</v>
      </c>
      <c r="J227" s="62">
        <f t="shared" si="61"/>
        <v>69.749999999999929</v>
      </c>
      <c r="K227" s="62">
        <f t="shared" si="61"/>
        <v>18.931000000000026</v>
      </c>
      <c r="L227" s="62">
        <f>L206+L217+L224+L225</f>
        <v>-5.4410000000000114</v>
      </c>
      <c r="M227" s="62">
        <f>M206+M217+M224+M225</f>
        <v>-68.128999999999948</v>
      </c>
      <c r="N227" s="62">
        <f>N206+N217+N224+N225</f>
        <v>113.42800000000001</v>
      </c>
      <c r="O227" s="67"/>
    </row>
    <row r="228" spans="2:15" x14ac:dyDescent="0.25">
      <c r="B228" s="53" t="s">
        <v>29</v>
      </c>
      <c r="C228" s="58">
        <v>8.6340000000000003</v>
      </c>
      <c r="D228" s="58">
        <f>+C229</f>
        <v>21.05</v>
      </c>
      <c r="E228" s="58">
        <f t="shared" ref="E228:N228" si="62">+D229</f>
        <v>18.617999999999999</v>
      </c>
      <c r="F228" s="58">
        <f t="shared" si="62"/>
        <v>1.135</v>
      </c>
      <c r="G228" s="58">
        <f t="shared" si="62"/>
        <v>42.856000000000002</v>
      </c>
      <c r="H228" s="58">
        <f t="shared" si="62"/>
        <v>33.07</v>
      </c>
      <c r="I228" s="58">
        <f t="shared" si="62"/>
        <v>8.077</v>
      </c>
      <c r="J228" s="58">
        <f t="shared" si="62"/>
        <v>37.767000000000003</v>
      </c>
      <c r="K228" s="58">
        <f t="shared" si="62"/>
        <v>107.517</v>
      </c>
      <c r="L228" s="58">
        <f t="shared" si="62"/>
        <v>126.44799999999999</v>
      </c>
      <c r="M228" s="58">
        <f t="shared" si="62"/>
        <v>121.00700000000001</v>
      </c>
      <c r="N228" s="58">
        <f t="shared" si="62"/>
        <v>52.878</v>
      </c>
      <c r="O228" s="42"/>
    </row>
    <row r="229" spans="2:15" ht="18" x14ac:dyDescent="0.25">
      <c r="B229" s="19" t="s">
        <v>30</v>
      </c>
      <c r="C229" s="62">
        <f t="shared" ref="C229:D229" si="63">ROUNDDOWN(C227+C228,3)</f>
        <v>21.05</v>
      </c>
      <c r="D229" s="62">
        <f t="shared" si="63"/>
        <v>18.617999999999999</v>
      </c>
      <c r="E229" s="62">
        <f>ROUNDDOWN(E227+E228,3)</f>
        <v>1.135</v>
      </c>
      <c r="F229" s="62">
        <f t="shared" ref="F229:L229" si="64">ROUNDDOWN(F227+F228,3)</f>
        <v>42.856000000000002</v>
      </c>
      <c r="G229" s="62">
        <f t="shared" si="64"/>
        <v>33.07</v>
      </c>
      <c r="H229" s="62">
        <f t="shared" si="64"/>
        <v>8.077</v>
      </c>
      <c r="I229" s="62">
        <f t="shared" si="64"/>
        <v>37.767000000000003</v>
      </c>
      <c r="J229" s="62">
        <f t="shared" si="64"/>
        <v>107.517</v>
      </c>
      <c r="K229" s="62">
        <f t="shared" si="64"/>
        <v>126.44799999999999</v>
      </c>
      <c r="L229" s="62">
        <f t="shared" si="64"/>
        <v>121.00700000000001</v>
      </c>
      <c r="M229" s="62">
        <f t="shared" ref="M229:N229" si="65">ROUNDDOWN(M227+M228,3)</f>
        <v>52.878</v>
      </c>
      <c r="N229" s="62">
        <f t="shared" si="65"/>
        <v>166.30600000000001</v>
      </c>
      <c r="O229" s="67"/>
    </row>
    <row r="230" spans="2:15" ht="18.75" x14ac:dyDescent="0.4">
      <c r="B230" s="20"/>
      <c r="C230" s="117">
        <f t="shared" ref="C230:K230" si="66">+C229-C121</f>
        <v>0</v>
      </c>
      <c r="D230" s="117">
        <f t="shared" si="66"/>
        <v>0</v>
      </c>
      <c r="E230" s="117">
        <f t="shared" si="66"/>
        <v>0</v>
      </c>
      <c r="F230" s="117">
        <f t="shared" si="66"/>
        <v>0</v>
      </c>
      <c r="G230" s="117">
        <f t="shared" si="66"/>
        <v>0</v>
      </c>
      <c r="H230" s="117">
        <f t="shared" si="66"/>
        <v>0</v>
      </c>
      <c r="I230" s="117">
        <f t="shared" si="66"/>
        <v>0</v>
      </c>
      <c r="J230" s="117">
        <f t="shared" si="66"/>
        <v>0</v>
      </c>
      <c r="K230" s="117">
        <f t="shared" si="66"/>
        <v>0</v>
      </c>
      <c r="L230" s="117">
        <f>+L229-L121</f>
        <v>0</v>
      </c>
      <c r="M230" s="117">
        <f>+M229-M121</f>
        <v>0</v>
      </c>
      <c r="N230" s="117">
        <f>+N229-N121</f>
        <v>0</v>
      </c>
      <c r="O230" s="46"/>
    </row>
    <row r="231" spans="2:15" ht="18" x14ac:dyDescent="0.25">
      <c r="B231" s="19" t="s">
        <v>53</v>
      </c>
      <c r="C231" s="40">
        <f t="shared" ref="C231:K231" si="67">+SUM(C206:C208,C218)</f>
        <v>-22.254000000000001</v>
      </c>
      <c r="D231" s="40">
        <f t="shared" si="67"/>
        <v>-95.739000000000004</v>
      </c>
      <c r="E231" s="40">
        <f t="shared" si="67"/>
        <v>-17.539999999999996</v>
      </c>
      <c r="F231" s="40">
        <f t="shared" si="67"/>
        <v>7.5860000000000154</v>
      </c>
      <c r="G231" s="40">
        <f t="shared" si="67"/>
        <v>-10.374999999999989</v>
      </c>
      <c r="H231" s="40">
        <f t="shared" si="67"/>
        <v>-24.543999999999997</v>
      </c>
      <c r="I231" s="40">
        <f t="shared" si="67"/>
        <v>28.114999999999998</v>
      </c>
      <c r="J231" s="40">
        <f t="shared" si="67"/>
        <v>113.78999999999994</v>
      </c>
      <c r="K231" s="40">
        <f t="shared" si="67"/>
        <v>-15.70799999999997</v>
      </c>
      <c r="L231" s="40">
        <f>+SUM(L206:L208,L218)</f>
        <v>9.9099999999999913</v>
      </c>
      <c r="M231" s="40">
        <f>+SUM(M206:M208,M218)</f>
        <v>-8.5839999999999481</v>
      </c>
      <c r="N231" s="40">
        <f>+SUM(N206:N208,N218)</f>
        <v>110.27000000000002</v>
      </c>
      <c r="O231" s="27"/>
    </row>
    <row r="232" spans="2:15" ht="17.100000000000001" customHeight="1" x14ac:dyDescent="0.35">
      <c r="B232" s="38"/>
      <c r="C232" s="21"/>
      <c r="D232" s="21"/>
      <c r="E232" s="21"/>
      <c r="F232" s="21"/>
      <c r="G232" s="21"/>
      <c r="H232" s="21"/>
      <c r="I232" s="21"/>
      <c r="J232" s="21"/>
      <c r="K232" s="21"/>
      <c r="L232" s="21"/>
      <c r="M232" s="21"/>
      <c r="N232" s="21"/>
      <c r="O232" s="21"/>
    </row>
    <row r="233" spans="2:15" x14ac:dyDescent="0.25">
      <c r="B233" s="44" t="s">
        <v>31</v>
      </c>
      <c r="C233" s="59">
        <f>+C234</f>
        <v>0</v>
      </c>
      <c r="D233" s="59">
        <f t="shared" ref="D233:N233" si="68">+D234</f>
        <v>0</v>
      </c>
      <c r="E233" s="59">
        <f t="shared" si="68"/>
        <v>0</v>
      </c>
      <c r="F233" s="59">
        <f t="shared" si="68"/>
        <v>0</v>
      </c>
      <c r="G233" s="59">
        <f t="shared" si="68"/>
        <v>0</v>
      </c>
      <c r="H233" s="59">
        <f t="shared" si="68"/>
        <v>5.8529999999999998</v>
      </c>
      <c r="I233" s="59">
        <f t="shared" si="68"/>
        <v>5.3879999999999999</v>
      </c>
      <c r="J233" s="59">
        <f t="shared" si="68"/>
        <v>52.954000000000001</v>
      </c>
      <c r="K233" s="59">
        <f t="shared" si="68"/>
        <v>78.277000000000001</v>
      </c>
      <c r="L233" s="59">
        <f t="shared" si="68"/>
        <v>71.064999999999998</v>
      </c>
      <c r="M233" s="59">
        <f t="shared" si="68"/>
        <v>21.588000000000001</v>
      </c>
      <c r="N233" s="59">
        <f t="shared" si="68"/>
        <v>48.819000000000003</v>
      </c>
      <c r="O233" s="56"/>
    </row>
    <row r="234" spans="2:15" x14ac:dyDescent="0.25">
      <c r="B234" s="41" t="s">
        <v>236</v>
      </c>
      <c r="C234" s="174">
        <f t="shared" ref="C234:L234" si="69">+C149+C137+C135+C144</f>
        <v>0</v>
      </c>
      <c r="D234" s="174">
        <f t="shared" si="69"/>
        <v>0</v>
      </c>
      <c r="E234" s="174">
        <f t="shared" si="69"/>
        <v>0</v>
      </c>
      <c r="F234" s="174">
        <f t="shared" si="69"/>
        <v>0</v>
      </c>
      <c r="G234" s="174">
        <f t="shared" si="69"/>
        <v>0</v>
      </c>
      <c r="H234" s="174">
        <f t="shared" si="69"/>
        <v>5.8529999999999998</v>
      </c>
      <c r="I234" s="174">
        <f t="shared" si="69"/>
        <v>5.3879999999999999</v>
      </c>
      <c r="J234" s="174">
        <f t="shared" si="69"/>
        <v>52.954000000000001</v>
      </c>
      <c r="K234" s="174">
        <f t="shared" si="69"/>
        <v>78.277000000000001</v>
      </c>
      <c r="L234" s="174">
        <f t="shared" si="69"/>
        <v>71.064999999999998</v>
      </c>
      <c r="M234" s="174">
        <f>+M149+M137+M135+M144</f>
        <v>21.588000000000001</v>
      </c>
      <c r="N234" s="174">
        <f>+N149+N137+N135+N144</f>
        <v>48.819000000000003</v>
      </c>
      <c r="O234" s="42"/>
    </row>
    <row r="235" spans="2:15" x14ac:dyDescent="0.25">
      <c r="B235" s="44" t="s">
        <v>32</v>
      </c>
      <c r="C235" s="59">
        <f t="shared" ref="C235:N235" si="70">+SUM(C236:C236)</f>
        <v>21.05</v>
      </c>
      <c r="D235" s="59">
        <f t="shared" si="70"/>
        <v>18.617999999999999</v>
      </c>
      <c r="E235" s="59">
        <f t="shared" si="70"/>
        <v>1.135</v>
      </c>
      <c r="F235" s="59">
        <f t="shared" si="70"/>
        <v>42.856000000000002</v>
      </c>
      <c r="G235" s="59">
        <f t="shared" si="70"/>
        <v>33.07</v>
      </c>
      <c r="H235" s="59">
        <f t="shared" si="70"/>
        <v>8.077</v>
      </c>
      <c r="I235" s="59">
        <f t="shared" si="70"/>
        <v>37.767000000000003</v>
      </c>
      <c r="J235" s="59">
        <f t="shared" si="70"/>
        <v>107.517</v>
      </c>
      <c r="K235" s="59">
        <f t="shared" si="70"/>
        <v>126.44799999999999</v>
      </c>
      <c r="L235" s="59">
        <f t="shared" si="70"/>
        <v>121.00700000000001</v>
      </c>
      <c r="M235" s="59">
        <f t="shared" si="70"/>
        <v>52.878</v>
      </c>
      <c r="N235" s="59">
        <f t="shared" si="70"/>
        <v>166.30600000000001</v>
      </c>
      <c r="O235" s="25"/>
    </row>
    <row r="236" spans="2:15" x14ac:dyDescent="0.25">
      <c r="B236" s="41" t="s">
        <v>15</v>
      </c>
      <c r="C236" s="174">
        <f t="shared" ref="C236:M236" si="71">+C121</f>
        <v>21.05</v>
      </c>
      <c r="D236" s="174">
        <f t="shared" si="71"/>
        <v>18.617999999999999</v>
      </c>
      <c r="E236" s="174">
        <f t="shared" si="71"/>
        <v>1.135</v>
      </c>
      <c r="F236" s="174">
        <f t="shared" si="71"/>
        <v>42.856000000000002</v>
      </c>
      <c r="G236" s="174">
        <f t="shared" si="71"/>
        <v>33.07</v>
      </c>
      <c r="H236" s="174">
        <f t="shared" si="71"/>
        <v>8.077</v>
      </c>
      <c r="I236" s="174">
        <f t="shared" si="71"/>
        <v>37.767000000000003</v>
      </c>
      <c r="J236" s="174">
        <f t="shared" si="71"/>
        <v>107.517</v>
      </c>
      <c r="K236" s="174">
        <f t="shared" si="71"/>
        <v>126.44799999999999</v>
      </c>
      <c r="L236" s="174">
        <f t="shared" si="71"/>
        <v>121.00700000000001</v>
      </c>
      <c r="M236" s="174">
        <f t="shared" si="71"/>
        <v>52.878</v>
      </c>
      <c r="N236" s="174">
        <f t="shared" ref="N236" si="72">+N121</f>
        <v>166.30600000000001</v>
      </c>
      <c r="O236" s="42"/>
    </row>
    <row r="237" spans="2:15" x14ac:dyDescent="0.25">
      <c r="B237" s="44" t="s">
        <v>33</v>
      </c>
      <c r="C237" s="59">
        <f t="shared" ref="C237:L237" si="73">+C233-C235</f>
        <v>-21.05</v>
      </c>
      <c r="D237" s="59">
        <f t="shared" si="73"/>
        <v>-18.617999999999999</v>
      </c>
      <c r="E237" s="59">
        <f t="shared" si="73"/>
        <v>-1.135</v>
      </c>
      <c r="F237" s="59">
        <f t="shared" si="73"/>
        <v>-42.856000000000002</v>
      </c>
      <c r="G237" s="59">
        <f t="shared" si="73"/>
        <v>-33.07</v>
      </c>
      <c r="H237" s="59">
        <f t="shared" si="73"/>
        <v>-2.2240000000000002</v>
      </c>
      <c r="I237" s="59">
        <f t="shared" si="73"/>
        <v>-32.379000000000005</v>
      </c>
      <c r="J237" s="59">
        <f t="shared" si="73"/>
        <v>-54.562999999999995</v>
      </c>
      <c r="K237" s="59">
        <f t="shared" si="73"/>
        <v>-48.170999999999992</v>
      </c>
      <c r="L237" s="60">
        <f t="shared" si="73"/>
        <v>-49.942000000000007</v>
      </c>
      <c r="M237" s="60">
        <f t="shared" ref="M237:N237" si="74">+M233-M235</f>
        <v>-31.29</v>
      </c>
      <c r="N237" s="60">
        <f t="shared" si="74"/>
        <v>-117.48700000000001</v>
      </c>
      <c r="O237" s="56"/>
    </row>
    <row r="238" spans="2:15" ht="18" x14ac:dyDescent="0.25">
      <c r="B238" s="19" t="s">
        <v>195</v>
      </c>
      <c r="C238" s="91"/>
      <c r="D238" s="91">
        <f>+D237-C237</f>
        <v>2.4320000000000022</v>
      </c>
      <c r="E238" s="91">
        <f t="shared" ref="E238:N238" si="75">+E237-D237</f>
        <v>17.482999999999997</v>
      </c>
      <c r="F238" s="91">
        <f t="shared" si="75"/>
        <v>-41.721000000000004</v>
      </c>
      <c r="G238" s="91">
        <f t="shared" si="75"/>
        <v>9.7860000000000014</v>
      </c>
      <c r="H238" s="91">
        <f t="shared" si="75"/>
        <v>30.846</v>
      </c>
      <c r="I238" s="91">
        <f t="shared" si="75"/>
        <v>-30.155000000000005</v>
      </c>
      <c r="J238" s="91">
        <f t="shared" si="75"/>
        <v>-22.18399999999999</v>
      </c>
      <c r="K238" s="91">
        <f t="shared" si="75"/>
        <v>6.392000000000003</v>
      </c>
      <c r="L238" s="91">
        <f t="shared" si="75"/>
        <v>-1.771000000000015</v>
      </c>
      <c r="M238" s="91">
        <f t="shared" si="75"/>
        <v>18.652000000000008</v>
      </c>
      <c r="N238" s="91">
        <f t="shared" si="75"/>
        <v>-86.197000000000003</v>
      </c>
      <c r="O238" s="81"/>
    </row>
    <row r="239" spans="2:15" x14ac:dyDescent="0.25">
      <c r="C239" s="43"/>
      <c r="D239" s="43"/>
      <c r="E239" s="43"/>
      <c r="F239" s="43"/>
      <c r="G239" s="43"/>
      <c r="H239" s="50"/>
      <c r="I239" s="50"/>
      <c r="J239" s="50"/>
      <c r="K239" s="50"/>
      <c r="L239" s="50"/>
      <c r="M239" s="50"/>
      <c r="N239" s="50"/>
    </row>
    <row r="240" spans="2:15" x14ac:dyDescent="0.25">
      <c r="B240" s="41" t="s">
        <v>46</v>
      </c>
      <c r="C240" s="174">
        <f t="shared" ref="C240:L240" si="76">+C233</f>
        <v>0</v>
      </c>
      <c r="D240" s="174">
        <f t="shared" si="76"/>
        <v>0</v>
      </c>
      <c r="E240" s="174">
        <f t="shared" si="76"/>
        <v>0</v>
      </c>
      <c r="F240" s="174">
        <f t="shared" si="76"/>
        <v>0</v>
      </c>
      <c r="G240" s="174">
        <f t="shared" si="76"/>
        <v>0</v>
      </c>
      <c r="H240" s="174">
        <f t="shared" si="76"/>
        <v>5.8529999999999998</v>
      </c>
      <c r="I240" s="174">
        <f t="shared" si="76"/>
        <v>5.3879999999999999</v>
      </c>
      <c r="J240" s="174">
        <f t="shared" si="76"/>
        <v>52.954000000000001</v>
      </c>
      <c r="K240" s="174">
        <f t="shared" si="76"/>
        <v>78.277000000000001</v>
      </c>
      <c r="L240" s="174">
        <f t="shared" si="76"/>
        <v>71.064999999999998</v>
      </c>
      <c r="M240" s="174">
        <f t="shared" ref="M240:N240" si="77">+M233</f>
        <v>21.588000000000001</v>
      </c>
      <c r="N240" s="174">
        <f t="shared" si="77"/>
        <v>48.819000000000003</v>
      </c>
      <c r="O240" s="42"/>
    </row>
    <row r="241" spans="2:15" x14ac:dyDescent="0.25">
      <c r="B241" s="41" t="s">
        <v>52</v>
      </c>
      <c r="C241" s="174">
        <f>+C237</f>
        <v>-21.05</v>
      </c>
      <c r="D241" s="174">
        <f t="shared" ref="D241:L241" si="78">+D237</f>
        <v>-18.617999999999999</v>
      </c>
      <c r="E241" s="174">
        <f t="shared" si="78"/>
        <v>-1.135</v>
      </c>
      <c r="F241" s="174">
        <f t="shared" si="78"/>
        <v>-42.856000000000002</v>
      </c>
      <c r="G241" s="174">
        <f t="shared" si="78"/>
        <v>-33.07</v>
      </c>
      <c r="H241" s="174">
        <f t="shared" si="78"/>
        <v>-2.2240000000000002</v>
      </c>
      <c r="I241" s="174">
        <f t="shared" si="78"/>
        <v>-32.379000000000005</v>
      </c>
      <c r="J241" s="174">
        <f t="shared" si="78"/>
        <v>-54.562999999999995</v>
      </c>
      <c r="K241" s="174">
        <f t="shared" si="78"/>
        <v>-48.170999999999992</v>
      </c>
      <c r="L241" s="174">
        <f t="shared" si="78"/>
        <v>-49.942000000000007</v>
      </c>
      <c r="M241" s="174">
        <f t="shared" ref="M241:N241" si="79">+M237</f>
        <v>-31.29</v>
      </c>
      <c r="N241" s="174">
        <f t="shared" si="79"/>
        <v>-117.48700000000001</v>
      </c>
      <c r="O241" s="42"/>
    </row>
    <row r="242" spans="2:15" x14ac:dyDescent="0.25">
      <c r="B242" s="41" t="s">
        <v>13</v>
      </c>
      <c r="C242" s="174">
        <f t="shared" ref="C242:M242" si="80">+C123</f>
        <v>107.229</v>
      </c>
      <c r="D242" s="174">
        <f t="shared" si="80"/>
        <v>224.14399999999998</v>
      </c>
      <c r="E242" s="174">
        <f t="shared" si="80"/>
        <v>300.93799999999999</v>
      </c>
      <c r="F242" s="174">
        <f t="shared" si="80"/>
        <v>374.37200000000001</v>
      </c>
      <c r="G242" s="174">
        <f t="shared" si="80"/>
        <v>405.15400000000005</v>
      </c>
      <c r="H242" s="174">
        <f t="shared" si="80"/>
        <v>443.30700000000002</v>
      </c>
      <c r="I242" s="174">
        <f t="shared" si="80"/>
        <v>505.04599999999999</v>
      </c>
      <c r="J242" s="174">
        <f t="shared" si="80"/>
        <v>585.40699999999993</v>
      </c>
      <c r="K242" s="174">
        <f t="shared" si="80"/>
        <v>663.07100000000003</v>
      </c>
      <c r="L242" s="174">
        <f t="shared" si="80"/>
        <v>670.56899999999996</v>
      </c>
      <c r="M242" s="174">
        <f t="shared" si="80"/>
        <v>675.85</v>
      </c>
      <c r="N242" s="174">
        <f t="shared" ref="N242" si="81">+N123</f>
        <v>791.64200000000005</v>
      </c>
      <c r="O242" s="42"/>
    </row>
    <row r="243" spans="2:15" x14ac:dyDescent="0.25">
      <c r="B243" s="41" t="s">
        <v>47</v>
      </c>
      <c r="C243" s="174">
        <f t="shared" ref="C243:M243" si="82">+C132</f>
        <v>56.929000000000002</v>
      </c>
      <c r="D243" s="174">
        <f t="shared" si="82"/>
        <v>176.36599999999999</v>
      </c>
      <c r="E243" s="174">
        <f t="shared" si="82"/>
        <v>188.56199999999998</v>
      </c>
      <c r="F243" s="174">
        <f t="shared" si="82"/>
        <v>246.85300000000001</v>
      </c>
      <c r="G243" s="174">
        <f t="shared" si="82"/>
        <v>286.37400000000002</v>
      </c>
      <c r="H243" s="174">
        <f t="shared" si="82"/>
        <v>317.45600000000007</v>
      </c>
      <c r="I243" s="174">
        <f t="shared" si="82"/>
        <v>350.19900000000001</v>
      </c>
      <c r="J243" s="174">
        <f t="shared" si="82"/>
        <v>435.89800000000002</v>
      </c>
      <c r="K243" s="174">
        <f t="shared" si="82"/>
        <v>466.29700000000003</v>
      </c>
      <c r="L243" s="174">
        <f t="shared" si="82"/>
        <v>492.39200000000005</v>
      </c>
      <c r="M243" s="174">
        <f t="shared" si="82"/>
        <v>518.53700000000003</v>
      </c>
      <c r="N243" s="174">
        <f t="shared" ref="N243" si="83">+N132</f>
        <v>591.81000000000006</v>
      </c>
      <c r="O243" s="42"/>
    </row>
    <row r="244" spans="2:15" x14ac:dyDescent="0.25">
      <c r="B244" s="41" t="s">
        <v>0</v>
      </c>
      <c r="C244" s="174">
        <f t="shared" ref="C244:M244" si="84">+C66</f>
        <v>-11.437000000000001</v>
      </c>
      <c r="D244" s="174">
        <f t="shared" si="84"/>
        <v>-5.8350000000000009</v>
      </c>
      <c r="E244" s="174">
        <f t="shared" si="84"/>
        <v>14.198000000000002</v>
      </c>
      <c r="F244" s="174">
        <f t="shared" si="84"/>
        <v>41.341999999999999</v>
      </c>
      <c r="G244" s="174">
        <f t="shared" si="84"/>
        <v>53.384000000000007</v>
      </c>
      <c r="H244" s="174">
        <f t="shared" si="84"/>
        <v>52.602999999999994</v>
      </c>
      <c r="I244" s="174">
        <f t="shared" si="84"/>
        <v>66.418999999999983</v>
      </c>
      <c r="J244" s="174">
        <f t="shared" si="84"/>
        <v>199.11399999999992</v>
      </c>
      <c r="K244" s="174">
        <f t="shared" si="84"/>
        <v>55.314000000000021</v>
      </c>
      <c r="L244" s="174">
        <f t="shared" si="84"/>
        <v>73.100000000000009</v>
      </c>
      <c r="M244" s="174">
        <f t="shared" si="84"/>
        <v>66.355999999999995</v>
      </c>
      <c r="N244" s="174">
        <f t="shared" ref="N244" si="85">+N66</f>
        <v>110.81800000000003</v>
      </c>
      <c r="O244" s="42"/>
    </row>
    <row r="245" spans="2:15" x14ac:dyDescent="0.25">
      <c r="B245" s="43"/>
    </row>
    <row r="246" spans="2:15" ht="18.75" x14ac:dyDescent="0.4">
      <c r="B246" s="41" t="s">
        <v>48</v>
      </c>
      <c r="C246" s="83">
        <f>+C240/C242</f>
        <v>0</v>
      </c>
      <c r="D246" s="83">
        <f t="shared" ref="D246:L246" si="86">+D240/D242</f>
        <v>0</v>
      </c>
      <c r="E246" s="83">
        <f t="shared" si="86"/>
        <v>0</v>
      </c>
      <c r="F246" s="83">
        <f t="shared" si="86"/>
        <v>0</v>
      </c>
      <c r="G246" s="83">
        <f t="shared" si="86"/>
        <v>0</v>
      </c>
      <c r="H246" s="83">
        <f t="shared" si="86"/>
        <v>1.3203039879812408E-2</v>
      </c>
      <c r="I246" s="83">
        <f t="shared" si="86"/>
        <v>1.0668335161549641E-2</v>
      </c>
      <c r="J246" s="83">
        <f t="shared" si="86"/>
        <v>9.0456724979373335E-2</v>
      </c>
      <c r="K246" s="83">
        <f t="shared" si="86"/>
        <v>0.11805221461955054</v>
      </c>
      <c r="L246" s="83">
        <f t="shared" si="86"/>
        <v>0.10597716267826279</v>
      </c>
      <c r="M246" s="83">
        <f t="shared" ref="M246:N246" si="87">+M240/M242</f>
        <v>3.1941998964267221E-2</v>
      </c>
      <c r="N246" s="83">
        <f t="shared" si="87"/>
        <v>6.1668026709042721E-2</v>
      </c>
      <c r="O246" s="84"/>
    </row>
    <row r="247" spans="2:15" ht="18.75" x14ac:dyDescent="0.4">
      <c r="B247" s="41" t="s">
        <v>49</v>
      </c>
      <c r="C247" s="83">
        <f>+C240/C243</f>
        <v>0</v>
      </c>
      <c r="D247" s="83">
        <f t="shared" ref="D247:L247" si="88">+D240/D243</f>
        <v>0</v>
      </c>
      <c r="E247" s="83">
        <f t="shared" si="88"/>
        <v>0</v>
      </c>
      <c r="F247" s="83">
        <f t="shared" si="88"/>
        <v>0</v>
      </c>
      <c r="G247" s="83">
        <f t="shared" si="88"/>
        <v>0</v>
      </c>
      <c r="H247" s="83">
        <f t="shared" si="88"/>
        <v>1.8437200745930138E-2</v>
      </c>
      <c r="I247" s="83">
        <f t="shared" si="88"/>
        <v>1.5385537937001533E-2</v>
      </c>
      <c r="J247" s="83">
        <f t="shared" si="88"/>
        <v>0.12148254866964289</v>
      </c>
      <c r="K247" s="83">
        <f t="shared" si="88"/>
        <v>0.16786940512162848</v>
      </c>
      <c r="L247" s="83">
        <f t="shared" si="88"/>
        <v>0.1443260654112983</v>
      </c>
      <c r="M247" s="83">
        <f t="shared" ref="M247:N247" si="89">+M240/M243</f>
        <v>4.1632516098176212E-2</v>
      </c>
      <c r="N247" s="83">
        <f t="shared" si="89"/>
        <v>8.2491002179753636E-2</v>
      </c>
      <c r="O247" s="84"/>
    </row>
    <row r="248" spans="2:15" ht="18.75" x14ac:dyDescent="0.4">
      <c r="B248" s="41" t="s">
        <v>59</v>
      </c>
      <c r="C248" s="85">
        <f>+C240/SUM(C240,C243)</f>
        <v>0</v>
      </c>
      <c r="D248" s="85">
        <f t="shared" ref="D248:L248" si="90">+D240/SUM(D240,D243)</f>
        <v>0</v>
      </c>
      <c r="E248" s="85">
        <f t="shared" si="90"/>
        <v>0</v>
      </c>
      <c r="F248" s="85">
        <f t="shared" si="90"/>
        <v>0</v>
      </c>
      <c r="G248" s="85">
        <f t="shared" si="90"/>
        <v>0</v>
      </c>
      <c r="H248" s="85">
        <f t="shared" si="90"/>
        <v>1.8103424278321973E-2</v>
      </c>
      <c r="I248" s="85">
        <f t="shared" si="90"/>
        <v>1.5152409958744274E-2</v>
      </c>
      <c r="J248" s="85">
        <f t="shared" si="90"/>
        <v>0.10832317347581681</v>
      </c>
      <c r="K248" s="85">
        <f t="shared" si="90"/>
        <v>0.14373987740876354</v>
      </c>
      <c r="L248" s="85">
        <f t="shared" si="90"/>
        <v>0.12612320017321638</v>
      </c>
      <c r="M248" s="85">
        <f t="shared" ref="M248:N248" si="91">+M240/SUM(M240,M243)</f>
        <v>3.9968525804211986E-2</v>
      </c>
      <c r="N248" s="85">
        <f t="shared" si="91"/>
        <v>7.6204792477393313E-2</v>
      </c>
      <c r="O248" s="95"/>
    </row>
    <row r="249" spans="2:15" ht="18.75" x14ac:dyDescent="0.4">
      <c r="B249" s="41" t="s">
        <v>55</v>
      </c>
      <c r="C249" s="83">
        <f>+C240/C244</f>
        <v>0</v>
      </c>
      <c r="D249" s="83">
        <f t="shared" ref="D249:L249" si="92">+D240/D244</f>
        <v>0</v>
      </c>
      <c r="E249" s="83">
        <f t="shared" si="92"/>
        <v>0</v>
      </c>
      <c r="F249" s="83">
        <f t="shared" si="92"/>
        <v>0</v>
      </c>
      <c r="G249" s="83">
        <f t="shared" si="92"/>
        <v>0</v>
      </c>
      <c r="H249" s="83">
        <f t="shared" si="92"/>
        <v>0.111267418208087</v>
      </c>
      <c r="I249" s="83">
        <f t="shared" si="92"/>
        <v>8.1121365874222751E-2</v>
      </c>
      <c r="J249" s="83">
        <f t="shared" si="92"/>
        <v>0.26594815030585506</v>
      </c>
      <c r="K249" s="83">
        <f t="shared" si="92"/>
        <v>1.4151390244784317</v>
      </c>
      <c r="L249" s="83">
        <f t="shared" si="92"/>
        <v>0.97216142270861816</v>
      </c>
      <c r="M249" s="83">
        <f t="shared" ref="M249:N249" si="93">+M240/M244</f>
        <v>0.32533606606787635</v>
      </c>
      <c r="N249" s="83">
        <f t="shared" si="93"/>
        <v>0.44053312638740988</v>
      </c>
      <c r="O249" s="84"/>
    </row>
    <row r="250" spans="2:15" ht="18.75" x14ac:dyDescent="0.4">
      <c r="B250" s="41" t="s">
        <v>56</v>
      </c>
      <c r="C250" s="83">
        <f>+C241/C244</f>
        <v>1.8405176182565357</v>
      </c>
      <c r="D250" s="83">
        <f t="shared" ref="D250:L250" si="94">+D241/D244</f>
        <v>3.1907455012853463</v>
      </c>
      <c r="E250" s="83">
        <f t="shared" si="94"/>
        <v>-7.994083673756866E-2</v>
      </c>
      <c r="F250" s="83">
        <f t="shared" si="94"/>
        <v>-1.0366213535871511</v>
      </c>
      <c r="G250" s="83">
        <f t="shared" si="94"/>
        <v>-0.61947399970028461</v>
      </c>
      <c r="H250" s="83">
        <f t="shared" si="94"/>
        <v>-4.2278957473908342E-2</v>
      </c>
      <c r="I250" s="83">
        <f t="shared" si="94"/>
        <v>-0.48749604781764272</v>
      </c>
      <c r="J250" s="83">
        <f t="shared" si="94"/>
        <v>-0.27402894824070639</v>
      </c>
      <c r="K250" s="83">
        <f t="shared" si="94"/>
        <v>-0.87086451892829975</v>
      </c>
      <c r="L250" s="83">
        <f t="shared" si="94"/>
        <v>-0.68320109439124488</v>
      </c>
      <c r="M250" s="83">
        <f t="shared" ref="M250:N250" si="95">+M241/M244</f>
        <v>-0.47154741093495695</v>
      </c>
      <c r="N250" s="83">
        <f t="shared" si="95"/>
        <v>-1.0601797541915572</v>
      </c>
      <c r="O250" s="84"/>
    </row>
    <row r="252" spans="2:15" s="3" customFormat="1" x14ac:dyDescent="0.25"/>
    <row r="254" spans="2:15" ht="30" x14ac:dyDescent="0.4">
      <c r="B254" s="24" t="s">
        <v>99</v>
      </c>
      <c r="C254" s="24"/>
      <c r="D254" s="24"/>
      <c r="E254" s="24"/>
      <c r="F254" s="24"/>
      <c r="G254" s="24"/>
      <c r="H254" s="34"/>
      <c r="I254" s="34"/>
      <c r="J254" s="34"/>
      <c r="K254" s="34"/>
      <c r="L254" s="34"/>
      <c r="M254" s="34"/>
      <c r="N254" s="34"/>
    </row>
    <row r="255" spans="2:15" x14ac:dyDescent="0.25">
      <c r="H255" s="34"/>
      <c r="I255" s="34"/>
      <c r="J255" s="34"/>
      <c r="K255" s="34"/>
      <c r="L255" s="34"/>
      <c r="M255" s="34"/>
      <c r="N255" s="34"/>
    </row>
    <row r="256" spans="2:15" ht="22.5" x14ac:dyDescent="0.3">
      <c r="B256" s="17"/>
      <c r="C256" s="6">
        <v>2014</v>
      </c>
      <c r="D256" s="6">
        <v>2015</v>
      </c>
      <c r="E256" s="6">
        <v>2016</v>
      </c>
      <c r="F256" s="6">
        <v>2017</v>
      </c>
      <c r="G256" s="6">
        <v>2018</v>
      </c>
      <c r="H256" s="5">
        <v>2019</v>
      </c>
      <c r="I256" s="5">
        <v>2020</v>
      </c>
      <c r="J256" s="5">
        <v>2021</v>
      </c>
      <c r="K256" s="5">
        <v>2022</v>
      </c>
      <c r="L256" s="6">
        <v>2023</v>
      </c>
      <c r="M256" s="6">
        <v>2024</v>
      </c>
      <c r="N256" s="6">
        <v>2025</v>
      </c>
      <c r="O256" s="5" t="s">
        <v>240</v>
      </c>
    </row>
    <row r="257" spans="2:15" x14ac:dyDescent="0.25">
      <c r="B257" s="41" t="s">
        <v>34</v>
      </c>
      <c r="C257" s="97">
        <v>1.5399</v>
      </c>
      <c r="D257" s="97">
        <v>0.9345</v>
      </c>
      <c r="E257" s="97">
        <v>1.2298</v>
      </c>
      <c r="F257" s="97">
        <v>1.6579999999999999</v>
      </c>
      <c r="G257" s="97">
        <v>2.101</v>
      </c>
      <c r="H257" s="97">
        <v>1.9238</v>
      </c>
      <c r="I257" s="97">
        <v>2.3593999999999999</v>
      </c>
      <c r="J257" s="97">
        <v>4.1165000000000003</v>
      </c>
      <c r="K257" s="97">
        <v>3.3117000000000001</v>
      </c>
      <c r="L257" s="122">
        <v>3.5922999999999998</v>
      </c>
      <c r="M257" s="122">
        <v>3.6448</v>
      </c>
      <c r="N257" s="122">
        <v>8.5500000000000007</v>
      </c>
      <c r="O257" s="42"/>
    </row>
    <row r="258" spans="2:15" x14ac:dyDescent="0.25">
      <c r="B258" s="41" t="s">
        <v>156</v>
      </c>
      <c r="C258" s="97">
        <v>44.072000000000003</v>
      </c>
      <c r="D258" s="97">
        <v>83.658000000000001</v>
      </c>
      <c r="E258" s="97">
        <v>116.68</v>
      </c>
      <c r="F258" s="97">
        <v>117.904</v>
      </c>
      <c r="G258" s="97">
        <v>136.755</v>
      </c>
      <c r="H258" s="97">
        <v>137.339</v>
      </c>
      <c r="I258" s="97">
        <v>137.35900000000001</v>
      </c>
      <c r="J258" s="97">
        <v>138.196</v>
      </c>
      <c r="K258" s="97">
        <v>139.75700000000001</v>
      </c>
      <c r="L258" s="122">
        <v>139.88</v>
      </c>
      <c r="M258" s="122">
        <v>140.404</v>
      </c>
      <c r="N258" s="122">
        <v>140.75899999999999</v>
      </c>
      <c r="O258" s="42"/>
    </row>
    <row r="259" spans="2:15" x14ac:dyDescent="0.25">
      <c r="B259" s="41" t="s">
        <v>157</v>
      </c>
      <c r="C259" s="59">
        <f>+C257*C258</f>
        <v>67.866472800000011</v>
      </c>
      <c r="D259" s="59">
        <f t="shared" ref="D259:K259" si="96">+D257*D258</f>
        <v>78.178401000000008</v>
      </c>
      <c r="E259" s="59">
        <f t="shared" si="96"/>
        <v>143.493064</v>
      </c>
      <c r="F259" s="59">
        <f t="shared" si="96"/>
        <v>195.48483199999998</v>
      </c>
      <c r="G259" s="59">
        <f t="shared" si="96"/>
        <v>287.32225499999998</v>
      </c>
      <c r="H259" s="59">
        <f t="shared" si="96"/>
        <v>264.21276819999997</v>
      </c>
      <c r="I259" s="59">
        <f t="shared" si="96"/>
        <v>324.08482459999999</v>
      </c>
      <c r="J259" s="59">
        <f t="shared" si="96"/>
        <v>568.88383399999998</v>
      </c>
      <c r="K259" s="59">
        <f t="shared" si="96"/>
        <v>462.83325690000004</v>
      </c>
      <c r="L259" s="60">
        <f>L257*L258</f>
        <v>502.49092399999995</v>
      </c>
      <c r="M259" s="60">
        <f>M257*M258</f>
        <v>511.74449920000001</v>
      </c>
      <c r="N259" s="60">
        <f>N257*N258</f>
        <v>1203.48945</v>
      </c>
      <c r="O259" s="42"/>
    </row>
    <row r="260" spans="2:15" x14ac:dyDescent="0.25">
      <c r="B260" s="41" t="s">
        <v>196</v>
      </c>
      <c r="C260" s="174">
        <v>1.2765</v>
      </c>
      <c r="D260" s="174">
        <v>1.3514999999999999</v>
      </c>
      <c r="E260" s="174">
        <v>1.1718</v>
      </c>
      <c r="F260" s="174">
        <v>1.1257999999999999</v>
      </c>
      <c r="G260" s="174">
        <v>1.1088</v>
      </c>
      <c r="H260" s="174">
        <v>1.1705000000000001</v>
      </c>
      <c r="I260" s="174">
        <v>1.1081000000000001</v>
      </c>
      <c r="J260" s="174">
        <v>1.194</v>
      </c>
      <c r="K260" s="174">
        <v>1.1225000000000001</v>
      </c>
      <c r="L260" s="174">
        <v>1.1520999999999999</v>
      </c>
      <c r="M260" s="174">
        <v>1.206</v>
      </c>
      <c r="N260" s="174">
        <v>1.1462000000000001</v>
      </c>
      <c r="O260" s="42"/>
    </row>
    <row r="261" spans="2:15" x14ac:dyDescent="0.25">
      <c r="B261" s="41" t="s">
        <v>155</v>
      </c>
      <c r="C261" s="59">
        <f>+IFERROR(C259*C260,0)</f>
        <v>86.631552529200007</v>
      </c>
      <c r="D261" s="59">
        <f t="shared" ref="D261:M261" si="97">+IFERROR(D259*D260,0)</f>
        <v>105.65810895150001</v>
      </c>
      <c r="E261" s="59">
        <f t="shared" si="97"/>
        <v>168.14517239520001</v>
      </c>
      <c r="F261" s="59">
        <f t="shared" si="97"/>
        <v>220.07682386559998</v>
      </c>
      <c r="G261" s="59">
        <f t="shared" si="97"/>
        <v>318.58291634400001</v>
      </c>
      <c r="H261" s="59">
        <f t="shared" si="97"/>
        <v>309.26104517810001</v>
      </c>
      <c r="I261" s="59">
        <f t="shared" si="97"/>
        <v>359.11839413926003</v>
      </c>
      <c r="J261" s="59">
        <f t="shared" si="97"/>
        <v>679.247297796</v>
      </c>
      <c r="K261" s="59">
        <f t="shared" si="97"/>
        <v>519.53033087025005</v>
      </c>
      <c r="L261" s="59">
        <f t="shared" si="97"/>
        <v>578.91979354039984</v>
      </c>
      <c r="M261" s="59">
        <f t="shared" si="97"/>
        <v>617.16386603520004</v>
      </c>
      <c r="N261" s="59">
        <f t="shared" ref="N261" si="98">+IFERROR(N259*N260,0)</f>
        <v>1379.4396075900002</v>
      </c>
      <c r="O261" s="42"/>
    </row>
    <row r="262" spans="2:15" x14ac:dyDescent="0.25">
      <c r="B262" s="41" t="s">
        <v>201</v>
      </c>
      <c r="C262" s="97">
        <f>+C237</f>
        <v>-21.05</v>
      </c>
      <c r="D262" s="97">
        <f t="shared" ref="D262:L262" si="99">+D237</f>
        <v>-18.617999999999999</v>
      </c>
      <c r="E262" s="97">
        <f t="shared" si="99"/>
        <v>-1.135</v>
      </c>
      <c r="F262" s="97">
        <f t="shared" si="99"/>
        <v>-42.856000000000002</v>
      </c>
      <c r="G262" s="97">
        <f t="shared" si="99"/>
        <v>-33.07</v>
      </c>
      <c r="H262" s="97">
        <f t="shared" si="99"/>
        <v>-2.2240000000000002</v>
      </c>
      <c r="I262" s="97">
        <f t="shared" si="99"/>
        <v>-32.379000000000005</v>
      </c>
      <c r="J262" s="97">
        <f t="shared" si="99"/>
        <v>-54.562999999999995</v>
      </c>
      <c r="K262" s="97">
        <f t="shared" si="99"/>
        <v>-48.170999999999992</v>
      </c>
      <c r="L262" s="97">
        <f t="shared" si="99"/>
        <v>-49.942000000000007</v>
      </c>
      <c r="M262" s="97">
        <f t="shared" ref="M262:N262" si="100">+M237</f>
        <v>-31.29</v>
      </c>
      <c r="N262" s="97">
        <f t="shared" si="100"/>
        <v>-117.48700000000001</v>
      </c>
      <c r="O262" s="82"/>
    </row>
    <row r="263" spans="2:15" x14ac:dyDescent="0.25">
      <c r="B263" s="41" t="s">
        <v>202</v>
      </c>
      <c r="C263" s="97">
        <f t="shared" ref="C263:M263" si="101">-C109</f>
        <v>0</v>
      </c>
      <c r="D263" s="97">
        <f t="shared" si="101"/>
        <v>-0.01</v>
      </c>
      <c r="E263" s="97">
        <f t="shared" si="101"/>
        <v>0</v>
      </c>
      <c r="F263" s="97">
        <f t="shared" si="101"/>
        <v>0</v>
      </c>
      <c r="G263" s="97">
        <f t="shared" si="101"/>
        <v>0</v>
      </c>
      <c r="H263" s="97">
        <f t="shared" si="101"/>
        <v>0</v>
      </c>
      <c r="I263" s="97">
        <f t="shared" si="101"/>
        <v>0</v>
      </c>
      <c r="J263" s="97">
        <f t="shared" si="101"/>
        <v>0</v>
      </c>
      <c r="K263" s="97">
        <f t="shared" si="101"/>
        <v>0</v>
      </c>
      <c r="L263" s="97">
        <f t="shared" si="101"/>
        <v>0</v>
      </c>
      <c r="M263" s="97">
        <f t="shared" si="101"/>
        <v>0</v>
      </c>
      <c r="N263" s="97">
        <f t="shared" ref="N263" si="102">-N109</f>
        <v>0</v>
      </c>
      <c r="O263" s="82"/>
    </row>
    <row r="264" spans="2:15" x14ac:dyDescent="0.25">
      <c r="B264" s="41" t="s">
        <v>203</v>
      </c>
      <c r="C264" s="97">
        <f t="shared" ref="C264:M264" si="103">+C131</f>
        <v>-0.11600000000000001</v>
      </c>
      <c r="D264" s="97">
        <f t="shared" si="103"/>
        <v>0</v>
      </c>
      <c r="E264" s="97">
        <f t="shared" si="103"/>
        <v>0</v>
      </c>
      <c r="F264" s="97">
        <f t="shared" si="103"/>
        <v>4.4740000000000002</v>
      </c>
      <c r="G264" s="97">
        <f t="shared" si="103"/>
        <v>4.2</v>
      </c>
      <c r="H264" s="97">
        <f t="shared" si="103"/>
        <v>-2.4020000000000001</v>
      </c>
      <c r="I264" s="97">
        <f t="shared" si="103"/>
        <v>-3.4910000000000001</v>
      </c>
      <c r="J264" s="97">
        <f t="shared" si="103"/>
        <v>-4.9089999999999998</v>
      </c>
      <c r="K264" s="97">
        <f t="shared" si="103"/>
        <v>-6.9980000000000002</v>
      </c>
      <c r="L264" s="97">
        <f t="shared" si="103"/>
        <v>-9.1039999999999992</v>
      </c>
      <c r="M264" s="97">
        <f t="shared" si="103"/>
        <v>2.1539999999999999</v>
      </c>
      <c r="N264" s="97">
        <f t="shared" ref="N264" si="104">+N131</f>
        <v>1.94</v>
      </c>
      <c r="O264" s="82"/>
    </row>
    <row r="265" spans="2:15" x14ac:dyDescent="0.25">
      <c r="B265" s="41" t="s">
        <v>36</v>
      </c>
      <c r="C265" s="175">
        <f>+SUM(C261:C264)</f>
        <v>65.465552529200011</v>
      </c>
      <c r="D265" s="175">
        <f t="shared" ref="D265:L265" si="105">+SUM(D261:D264)</f>
        <v>87.030108951500011</v>
      </c>
      <c r="E265" s="175">
        <f t="shared" si="105"/>
        <v>167.01017239520002</v>
      </c>
      <c r="F265" s="175">
        <f t="shared" si="105"/>
        <v>181.69482386559997</v>
      </c>
      <c r="G265" s="175">
        <f t="shared" si="105"/>
        <v>289.71291634400001</v>
      </c>
      <c r="H265" s="175">
        <f t="shared" si="105"/>
        <v>304.63504517810003</v>
      </c>
      <c r="I265" s="175">
        <f t="shared" si="105"/>
        <v>323.24839413926003</v>
      </c>
      <c r="J265" s="175">
        <f t="shared" si="105"/>
        <v>619.77529779600002</v>
      </c>
      <c r="K265" s="175">
        <f t="shared" si="105"/>
        <v>464.36133087025007</v>
      </c>
      <c r="L265" s="175">
        <f t="shared" si="105"/>
        <v>519.87379354039979</v>
      </c>
      <c r="M265" s="175">
        <f t="shared" ref="M265:N265" si="106">+SUM(M261:M264)</f>
        <v>588.02786603520008</v>
      </c>
      <c r="N265" s="175">
        <f t="shared" si="106"/>
        <v>1263.8926075900001</v>
      </c>
      <c r="O265" s="82"/>
    </row>
    <row r="266" spans="2:15" x14ac:dyDescent="0.25">
      <c r="B266" s="41"/>
      <c r="C266" s="22"/>
      <c r="D266" s="22"/>
      <c r="E266" s="22"/>
      <c r="F266" s="22"/>
      <c r="G266" s="22"/>
      <c r="H266" s="22"/>
      <c r="I266" s="22"/>
      <c r="J266" s="22"/>
      <c r="K266" s="22"/>
      <c r="L266" s="22"/>
      <c r="M266" s="22"/>
      <c r="N266" s="22"/>
      <c r="O266" s="30"/>
    </row>
    <row r="267" spans="2:15" s="54" customFormat="1" ht="15" customHeight="1" x14ac:dyDescent="0.25">
      <c r="B267" s="53" t="s">
        <v>37</v>
      </c>
      <c r="C267" s="145">
        <f t="shared" ref="C267:M267" si="107">C261/C86</f>
        <v>-7.7033214057620487</v>
      </c>
      <c r="D267" s="145">
        <f t="shared" si="107"/>
        <v>-7.0391811426715529</v>
      </c>
      <c r="E267" s="145">
        <f t="shared" si="107"/>
        <v>13.969026534452105</v>
      </c>
      <c r="F267" s="145">
        <f t="shared" si="107"/>
        <v>12.066276871846044</v>
      </c>
      <c r="G267" s="145">
        <f t="shared" si="107"/>
        <v>9.1770968268471833</v>
      </c>
      <c r="H267" s="145">
        <f t="shared" si="107"/>
        <v>8.2860714620502112</v>
      </c>
      <c r="I267" s="145">
        <f t="shared" si="107"/>
        <v>11.408189400529249</v>
      </c>
      <c r="J267" s="145">
        <f t="shared" si="107"/>
        <v>5.0825124793930172</v>
      </c>
      <c r="K267" s="145">
        <f t="shared" si="107"/>
        <v>15.669743051432652</v>
      </c>
      <c r="L267" s="145">
        <f t="shared" si="107"/>
        <v>14.932543876303223</v>
      </c>
      <c r="M267" s="145">
        <f t="shared" si="107"/>
        <v>18.95466419027025</v>
      </c>
      <c r="N267" s="145">
        <f t="shared" ref="N267" si="108">N261/N86</f>
        <v>16.159689884258984</v>
      </c>
      <c r="O267" s="146"/>
    </row>
    <row r="268" spans="2:15" s="54" customFormat="1" ht="15" customHeight="1" x14ac:dyDescent="0.25">
      <c r="B268" s="53" t="s">
        <v>38</v>
      </c>
      <c r="C268" s="145">
        <f t="shared" ref="C268:M268" si="109">C265/C66</f>
        <v>-5.7240143856955497</v>
      </c>
      <c r="D268" s="145">
        <f t="shared" si="109"/>
        <v>-14.915185767180805</v>
      </c>
      <c r="E268" s="145">
        <f t="shared" si="109"/>
        <v>11.762936497760247</v>
      </c>
      <c r="F268" s="145">
        <f t="shared" si="109"/>
        <v>4.3949209971844612</v>
      </c>
      <c r="G268" s="145">
        <f t="shared" si="109"/>
        <v>5.4269615679604373</v>
      </c>
      <c r="H268" s="145">
        <f t="shared" si="109"/>
        <v>5.7912104856776239</v>
      </c>
      <c r="I268" s="145">
        <f t="shared" si="109"/>
        <v>4.8668060967382845</v>
      </c>
      <c r="J268" s="145">
        <f t="shared" si="109"/>
        <v>3.1126655975772688</v>
      </c>
      <c r="K268" s="145">
        <f t="shared" si="109"/>
        <v>8.3950054393146374</v>
      </c>
      <c r="L268" s="145">
        <f t="shared" si="109"/>
        <v>7.1118166010998598</v>
      </c>
      <c r="M268" s="145">
        <f t="shared" si="109"/>
        <v>8.8617135757911889</v>
      </c>
      <c r="N268" s="145">
        <f t="shared" ref="N268" si="110">N265/N66</f>
        <v>11.405120175332526</v>
      </c>
      <c r="O268" s="146"/>
    </row>
    <row r="269" spans="2:15" s="54" customFormat="1" ht="15" customHeight="1" x14ac:dyDescent="0.25">
      <c r="B269" s="53" t="s">
        <v>57</v>
      </c>
      <c r="C269" s="145">
        <f t="shared" ref="C269:M269" si="111">C265/C71</f>
        <v>-5.6694857997055514</v>
      </c>
      <c r="D269" s="145">
        <f t="shared" si="111"/>
        <v>-14.243880352127659</v>
      </c>
      <c r="E269" s="145">
        <f t="shared" si="111"/>
        <v>57.47080949593942</v>
      </c>
      <c r="F269" s="145">
        <f t="shared" si="111"/>
        <v>7.364712572072472</v>
      </c>
      <c r="G269" s="145">
        <f t="shared" si="111"/>
        <v>7.2511617446062964</v>
      </c>
      <c r="H269" s="145">
        <f t="shared" si="111"/>
        <v>8.3402246393829067</v>
      </c>
      <c r="I269" s="145">
        <f t="shared" si="111"/>
        <v>9.051534334096667</v>
      </c>
      <c r="J269" s="145">
        <f t="shared" si="111"/>
        <v>3.7148329385152077</v>
      </c>
      <c r="K269" s="145">
        <f t="shared" si="111"/>
        <v>21.909003579629609</v>
      </c>
      <c r="L269" s="145">
        <f t="shared" si="111"/>
        <v>14.727302933155796</v>
      </c>
      <c r="M269" s="145">
        <f t="shared" si="111"/>
        <v>20.607249554413855</v>
      </c>
      <c r="N269" s="145">
        <f t="shared" ref="N269" si="112">N265/N71</f>
        <v>11.405120175332526</v>
      </c>
      <c r="O269" s="146"/>
    </row>
    <row r="270" spans="2:15" s="54" customFormat="1" ht="15" customHeight="1" x14ac:dyDescent="0.25">
      <c r="B270" s="53" t="s">
        <v>39</v>
      </c>
      <c r="C270" s="147">
        <f t="shared" ref="C270:M270" si="113">C261/C132</f>
        <v>1.5217473085632982</v>
      </c>
      <c r="D270" s="147">
        <f t="shared" si="113"/>
        <v>0.59908434137815691</v>
      </c>
      <c r="E270" s="147">
        <f t="shared" si="113"/>
        <v>0.89172353069653498</v>
      </c>
      <c r="F270" s="147">
        <f t="shared" si="113"/>
        <v>0.89152987351014557</v>
      </c>
      <c r="G270" s="147">
        <f t="shared" si="113"/>
        <v>1.112471510486287</v>
      </c>
      <c r="H270" s="147">
        <f t="shared" si="113"/>
        <v>0.97418554123437562</v>
      </c>
      <c r="I270" s="147">
        <f t="shared" si="113"/>
        <v>1.025469502023878</v>
      </c>
      <c r="J270" s="147">
        <f t="shared" si="113"/>
        <v>1.5582711960045699</v>
      </c>
      <c r="K270" s="147">
        <f t="shared" si="113"/>
        <v>1.1141618557920168</v>
      </c>
      <c r="L270" s="147">
        <f t="shared" si="113"/>
        <v>1.175729486954296</v>
      </c>
      <c r="M270" s="147">
        <f t="shared" si="113"/>
        <v>1.1902021765760207</v>
      </c>
      <c r="N270" s="147">
        <f t="shared" ref="N270" si="114">N261/N132</f>
        <v>2.3308825595883813</v>
      </c>
      <c r="O270" s="148"/>
    </row>
    <row r="271" spans="2:15" s="54" customFormat="1" ht="15" customHeight="1" x14ac:dyDescent="0.25">
      <c r="B271" s="53" t="s">
        <v>40</v>
      </c>
      <c r="C271" s="149">
        <f t="shared" ref="C271:M271" si="115">IFERROR(-C223/C261,0)</f>
        <v>0</v>
      </c>
      <c r="D271" s="149">
        <f t="shared" si="115"/>
        <v>0</v>
      </c>
      <c r="E271" s="149">
        <f t="shared" si="115"/>
        <v>0</v>
      </c>
      <c r="F271" s="149">
        <f t="shared" si="115"/>
        <v>0</v>
      </c>
      <c r="G271" s="149">
        <f t="shared" si="115"/>
        <v>0</v>
      </c>
      <c r="H271" s="149">
        <f t="shared" si="115"/>
        <v>0</v>
      </c>
      <c r="I271" s="149">
        <f t="shared" si="115"/>
        <v>0</v>
      </c>
      <c r="J271" s="149">
        <f t="shared" si="115"/>
        <v>6.9621182378560922E-2</v>
      </c>
      <c r="K271" s="149">
        <f t="shared" si="115"/>
        <v>9.8146339049325852E-3</v>
      </c>
      <c r="L271" s="149">
        <f t="shared" si="115"/>
        <v>1.982658069057542E-2</v>
      </c>
      <c r="M271" s="149">
        <f t="shared" si="115"/>
        <v>1.6698968567631915E-2</v>
      </c>
      <c r="N271" s="149">
        <f t="shared" ref="N271" si="116">IFERROR(-N223/N261,0)</f>
        <v>7.289191889717413E-3</v>
      </c>
      <c r="O271" s="150"/>
    </row>
    <row r="272" spans="2:15" s="54" customFormat="1" ht="15" customHeight="1" x14ac:dyDescent="0.25">
      <c r="B272" s="53" t="s">
        <v>41</v>
      </c>
      <c r="C272" s="149">
        <f t="shared" ref="C272:N272" si="117">C86/AVERAGE(B132:C132)</f>
        <v>-0.19754430957859789</v>
      </c>
      <c r="D272" s="149">
        <f t="shared" si="117"/>
        <v>-0.12867828286075569</v>
      </c>
      <c r="E272" s="149">
        <f t="shared" si="117"/>
        <v>6.5969177481585414E-2</v>
      </c>
      <c r="F272" s="149">
        <f t="shared" si="117"/>
        <v>8.3777545559982999E-2</v>
      </c>
      <c r="G272" s="149">
        <f t="shared" si="117"/>
        <v>0.13020721006250621</v>
      </c>
      <c r="H272" s="149">
        <f t="shared" si="117"/>
        <v>0.12362088667340142</v>
      </c>
      <c r="I272" s="149">
        <f t="shared" si="117"/>
        <v>9.4297204394485107E-2</v>
      </c>
      <c r="J272" s="149">
        <f t="shared" si="117"/>
        <v>0.34001910705676253</v>
      </c>
      <c r="K272" s="149">
        <f t="shared" si="117"/>
        <v>7.3498523046569814E-2</v>
      </c>
      <c r="L272" s="149">
        <f t="shared" si="117"/>
        <v>8.0879200658399139E-2</v>
      </c>
      <c r="M272" s="149">
        <f t="shared" si="117"/>
        <v>6.4415997562637994E-2</v>
      </c>
      <c r="N272" s="149">
        <f t="shared" si="117"/>
        <v>0.15375914016068853</v>
      </c>
      <c r="O272" s="150"/>
    </row>
    <row r="273" spans="3:15" ht="18.75" x14ac:dyDescent="0.4">
      <c r="C273" s="51"/>
      <c r="D273" s="51"/>
      <c r="E273" s="51"/>
      <c r="F273" s="51"/>
      <c r="G273" s="51"/>
      <c r="H273" s="51"/>
      <c r="I273" s="51"/>
      <c r="J273" s="51"/>
      <c r="K273" s="51"/>
      <c r="L273" s="51"/>
      <c r="M273" s="51"/>
      <c r="N273" s="51"/>
      <c r="O273" s="51"/>
    </row>
    <row r="275" spans="3:15" x14ac:dyDescent="0.25">
      <c r="C275" s="109"/>
    </row>
  </sheetData>
  <conditionalFormatting sqref="C153:N153">
    <cfRule type="cellIs" dxfId="1" priority="2" operator="equal">
      <formula>0</formula>
    </cfRule>
  </conditionalFormatting>
  <conditionalFormatting sqref="C230:N230">
    <cfRule type="cellIs" dxfId="0" priority="1" operator="equal">
      <formula>0</formula>
    </cfRule>
  </conditionalFormatting>
  <hyperlinks>
    <hyperlink ref="N34" r:id="rId1" xr:uid="{7B85D64D-C43E-4588-9EBC-68793E3C4B90}"/>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234A0-B49C-44A5-9A1A-D37B5C32CF93}">
  <dimension ref="B14:R168"/>
  <sheetViews>
    <sheetView topLeftCell="A60" zoomScale="70" zoomScaleNormal="70" workbookViewId="0">
      <selection activeCell="R128" sqref="R128:R129"/>
    </sheetView>
  </sheetViews>
  <sheetFormatPr defaultColWidth="10.7109375" defaultRowHeight="15" x14ac:dyDescent="0.25"/>
  <cols>
    <col min="1" max="1" width="10.7109375" style="1"/>
    <col min="2" max="2" width="49.7109375" style="4" customWidth="1"/>
    <col min="3" max="3" width="17.42578125" style="1" customWidth="1"/>
    <col min="4" max="4" width="18.5703125" style="1" bestFit="1" customWidth="1"/>
    <col min="5" max="5" width="18.7109375" style="1" customWidth="1"/>
    <col min="6" max="6" width="16.7109375" style="1" customWidth="1"/>
    <col min="7" max="7" width="17.42578125" style="1" customWidth="1"/>
    <col min="8" max="8" width="18.5703125" style="1" customWidth="1"/>
    <col min="9" max="9" width="17.28515625" style="1" bestFit="1" customWidth="1"/>
    <col min="10" max="10" width="17.42578125" style="1" customWidth="1"/>
    <col min="11" max="11" width="17.28515625" style="1" customWidth="1"/>
    <col min="12" max="13" width="16.7109375" style="1" customWidth="1"/>
    <col min="14" max="14" width="18.5703125" style="1" bestFit="1" customWidth="1"/>
    <col min="15" max="15" width="17.42578125" style="1" customWidth="1"/>
    <col min="16" max="16" width="18.28515625" style="1" customWidth="1"/>
    <col min="17" max="17" width="17.7109375" style="1" bestFit="1" customWidth="1"/>
    <col min="18" max="18" width="15" style="1" customWidth="1"/>
    <col min="19" max="16384" width="10.7109375" style="1"/>
  </cols>
  <sheetData>
    <row r="14" spans="2:2" s="3" customFormat="1" x14ac:dyDescent="0.25">
      <c r="B14" s="99"/>
    </row>
    <row r="17" spans="2:7" ht="30" x14ac:dyDescent="0.4">
      <c r="B17" s="100" t="s">
        <v>100</v>
      </c>
    </row>
    <row r="19" spans="2:7" ht="22.5" x14ac:dyDescent="0.3">
      <c r="B19" s="101" t="s">
        <v>72</v>
      </c>
    </row>
    <row r="20" spans="2:7" ht="30" x14ac:dyDescent="0.4">
      <c r="B20" s="100"/>
      <c r="C20" s="161">
        <v>2025</v>
      </c>
      <c r="D20" s="102">
        <v>2025</v>
      </c>
      <c r="E20" s="161">
        <v>2025</v>
      </c>
      <c r="F20" s="161">
        <v>2025</v>
      </c>
    </row>
    <row r="21" spans="2:7" x14ac:dyDescent="0.25">
      <c r="C21" s="5" t="s">
        <v>200</v>
      </c>
      <c r="D21" s="5" t="s">
        <v>220</v>
      </c>
      <c r="E21" s="5" t="s">
        <v>218</v>
      </c>
      <c r="F21" s="5" t="s">
        <v>219</v>
      </c>
      <c r="G21" s="5" t="s">
        <v>215</v>
      </c>
    </row>
    <row r="22" spans="2:7" x14ac:dyDescent="0.25">
      <c r="B22" s="103" t="s">
        <v>73</v>
      </c>
      <c r="C22" s="104">
        <v>15.91</v>
      </c>
      <c r="D22" s="135">
        <v>7.67</v>
      </c>
      <c r="E22" s="123">
        <v>147.51</v>
      </c>
      <c r="F22" s="135">
        <v>13.57</v>
      </c>
      <c r="G22" s="139"/>
    </row>
    <row r="23" spans="2:7" x14ac:dyDescent="0.25">
      <c r="B23" s="103" t="s">
        <v>210</v>
      </c>
      <c r="C23" s="164">
        <v>1.3467</v>
      </c>
      <c r="D23" s="135"/>
      <c r="E23" s="123"/>
      <c r="F23" s="165">
        <v>1.3694999999999999</v>
      </c>
      <c r="G23" s="139"/>
    </row>
    <row r="24" spans="2:7" x14ac:dyDescent="0.25">
      <c r="B24" s="103" t="s">
        <v>74</v>
      </c>
      <c r="C24" s="104">
        <v>39.65</v>
      </c>
      <c r="D24" s="135">
        <v>10.38</v>
      </c>
      <c r="E24" s="123">
        <v>185.23</v>
      </c>
      <c r="F24" s="135">
        <v>12.92</v>
      </c>
      <c r="G24" s="140"/>
    </row>
    <row r="25" spans="2:7" x14ac:dyDescent="0.25">
      <c r="B25" s="103" t="s">
        <v>211</v>
      </c>
      <c r="C25" s="164">
        <v>1.3536999999999999</v>
      </c>
      <c r="D25" s="104"/>
      <c r="E25" s="123"/>
      <c r="F25" s="165">
        <v>1.3706</v>
      </c>
      <c r="G25" s="140"/>
    </row>
    <row r="26" spans="2:7" x14ac:dyDescent="0.25">
      <c r="B26" s="103" t="s">
        <v>60</v>
      </c>
      <c r="C26" s="88">
        <v>985.85669499999995</v>
      </c>
      <c r="D26" s="88">
        <v>323.49599999999998</v>
      </c>
      <c r="E26" s="88">
        <v>826.6</v>
      </c>
      <c r="F26" s="88">
        <v>762.42215599999997</v>
      </c>
      <c r="G26" s="139"/>
    </row>
    <row r="27" spans="2:7" x14ac:dyDescent="0.25">
      <c r="B27" s="103" t="s">
        <v>75</v>
      </c>
      <c r="C27" s="126">
        <f>+C26*C22*C23</f>
        <v>21122.962589499915</v>
      </c>
      <c r="D27" s="134">
        <f>+D22*D26</f>
        <v>2481.21432</v>
      </c>
      <c r="E27" s="126">
        <f>+E22*E26</f>
        <v>121931.76599999999</v>
      </c>
      <c r="F27" s="126">
        <f>+F22*F26/F23</f>
        <v>7554.6320970573206</v>
      </c>
      <c r="G27" s="139"/>
    </row>
    <row r="28" spans="2:7" x14ac:dyDescent="0.25">
      <c r="B28" s="167" t="s">
        <v>258</v>
      </c>
      <c r="C28" s="126">
        <f>+C26*C24*C25</f>
        <v>52915.074348052469</v>
      </c>
      <c r="D28" s="134">
        <f>+D26*D24</f>
        <v>3357.8884800000001</v>
      </c>
      <c r="E28" s="126">
        <f>+E26*E24</f>
        <v>153111.11799999999</v>
      </c>
      <c r="F28" s="126">
        <f>+F24*F26/F25</f>
        <v>7186.994203648037</v>
      </c>
      <c r="G28" s="139"/>
    </row>
    <row r="29" spans="2:7" x14ac:dyDescent="0.25">
      <c r="B29" s="103" t="s">
        <v>201</v>
      </c>
      <c r="C29" s="123">
        <v>2749.5</v>
      </c>
      <c r="D29" s="135">
        <v>559.03499999999997</v>
      </c>
      <c r="E29" s="123">
        <f>6750.7+576.3+86.5-4304.6</f>
        <v>3108.8999999999996</v>
      </c>
      <c r="F29" s="123">
        <v>780.1</v>
      </c>
      <c r="G29" s="139"/>
    </row>
    <row r="30" spans="2:7" x14ac:dyDescent="0.25">
      <c r="B30" s="103" t="s">
        <v>204</v>
      </c>
      <c r="C30" s="123">
        <v>1806.3</v>
      </c>
      <c r="D30" s="135"/>
      <c r="E30" s="123">
        <v>0</v>
      </c>
      <c r="F30" s="123">
        <v>0</v>
      </c>
      <c r="G30" s="139"/>
    </row>
    <row r="31" spans="2:7" x14ac:dyDescent="0.25">
      <c r="B31" s="103" t="s">
        <v>205</v>
      </c>
      <c r="C31" s="123">
        <v>4060.3</v>
      </c>
      <c r="D31" s="135">
        <v>1E-3</v>
      </c>
      <c r="E31" s="123">
        <v>66.8</v>
      </c>
      <c r="F31" s="123">
        <v>442.14</v>
      </c>
      <c r="G31" s="139"/>
    </row>
    <row r="32" spans="2:7" x14ac:dyDescent="0.25">
      <c r="B32" s="103" t="s">
        <v>76</v>
      </c>
      <c r="C32" s="126">
        <f>+SUM(C27,C29,-C30,C31)</f>
        <v>26126.462589499915</v>
      </c>
      <c r="D32" s="134">
        <f>+SUM(D27,D29,-D30,D31)</f>
        <v>3040.2503200000001</v>
      </c>
      <c r="E32" s="126">
        <f>+SUM(E27,E29,-E30,E31)</f>
        <v>125107.46599999999</v>
      </c>
      <c r="F32" s="126">
        <f>+SUM(F27,F29,-F30,F31)</f>
        <v>8776.8720970573195</v>
      </c>
      <c r="G32" s="139"/>
    </row>
    <row r="33" spans="2:10" x14ac:dyDescent="0.25">
      <c r="B33" s="167" t="s">
        <v>259</v>
      </c>
      <c r="C33" s="126">
        <f>+SUM(C28:C29,-C30,C31)</f>
        <v>57918.574348052469</v>
      </c>
      <c r="D33" s="134">
        <f>+SUM(D28,D29,-D30,D31)</f>
        <v>3916.9244800000001</v>
      </c>
      <c r="E33" s="126">
        <f>+SUM(E28,E29,-E30,E31)</f>
        <v>156286.81799999997</v>
      </c>
      <c r="F33" s="126">
        <f>+SUM(F28,F29,-F30,F31)</f>
        <v>8409.2342036480368</v>
      </c>
      <c r="G33" s="139"/>
    </row>
    <row r="34" spans="2:10" x14ac:dyDescent="0.25">
      <c r="B34" s="103" t="s">
        <v>77</v>
      </c>
      <c r="C34" s="123">
        <v>8620.2999999999993</v>
      </c>
      <c r="D34" s="135">
        <v>672.904</v>
      </c>
      <c r="E34" s="123">
        <v>13420</v>
      </c>
      <c r="F34" s="123">
        <v>2359.89</v>
      </c>
      <c r="G34" s="139"/>
      <c r="J34" s="105"/>
    </row>
    <row r="35" spans="2:10" x14ac:dyDescent="0.25">
      <c r="B35" s="103" t="s">
        <v>78</v>
      </c>
      <c r="C35" s="123">
        <v>3373.6</v>
      </c>
      <c r="D35" s="135">
        <v>19.934000000000001</v>
      </c>
      <c r="E35" s="123">
        <v>7001.7</v>
      </c>
      <c r="F35" s="123">
        <v>705.67</v>
      </c>
      <c r="G35" s="141"/>
    </row>
    <row r="36" spans="2:10" x14ac:dyDescent="0.25">
      <c r="B36" s="103" t="s">
        <v>79</v>
      </c>
      <c r="C36" s="156">
        <f>+IFERROR(C35/C34,0)</f>
        <v>0.39135528925907453</v>
      </c>
      <c r="D36" s="156">
        <f t="shared" ref="D36:F36" si="0">+IFERROR(D35/D34,0)</f>
        <v>2.9623839358957595E-2</v>
      </c>
      <c r="E36" s="156">
        <f t="shared" si="0"/>
        <v>0.52173621460506703</v>
      </c>
      <c r="F36" s="156">
        <f t="shared" si="0"/>
        <v>0.29902664954722463</v>
      </c>
      <c r="G36" s="139"/>
    </row>
    <row r="37" spans="2:10" x14ac:dyDescent="0.25">
      <c r="B37" s="103" t="s">
        <v>0</v>
      </c>
      <c r="C37" s="123">
        <v>5201.8999999999996</v>
      </c>
      <c r="D37" s="135">
        <f>+D35+103.21</f>
        <v>123.14399999999999</v>
      </c>
      <c r="E37" s="123">
        <f>+E35+868.4</f>
        <v>7870.0999999999995</v>
      </c>
      <c r="F37" s="123">
        <f>+F35+481.677</f>
        <v>1187.347</v>
      </c>
      <c r="G37" s="141"/>
    </row>
    <row r="38" spans="2:10" x14ac:dyDescent="0.25">
      <c r="B38" s="103" t="s">
        <v>80</v>
      </c>
      <c r="C38" s="156">
        <f>IFERROR(C37/C34,0)</f>
        <v>0.60344767583494774</v>
      </c>
      <c r="D38" s="156">
        <f t="shared" ref="D38:F38" si="1">IFERROR(D37/D34,0)</f>
        <v>0.18300381629474635</v>
      </c>
      <c r="E38" s="156">
        <f t="shared" si="1"/>
        <v>0.58644560357675113</v>
      </c>
      <c r="F38" s="156">
        <f t="shared" si="1"/>
        <v>0.503136586874812</v>
      </c>
      <c r="G38" s="142"/>
    </row>
    <row r="39" spans="2:10" x14ac:dyDescent="0.25">
      <c r="B39" s="103" t="s">
        <v>208</v>
      </c>
      <c r="C39" s="125">
        <v>2.38</v>
      </c>
      <c r="D39" s="125">
        <v>2.66</v>
      </c>
      <c r="E39" s="125">
        <v>2.19</v>
      </c>
      <c r="F39" s="125">
        <v>2.31</v>
      </c>
      <c r="G39" s="143">
        <f>+AVERAGE(C39:F39)</f>
        <v>2.3850000000000002</v>
      </c>
    </row>
    <row r="40" spans="2:10" x14ac:dyDescent="0.25">
      <c r="B40" s="103" t="s">
        <v>209</v>
      </c>
      <c r="C40" s="125">
        <v>1.19</v>
      </c>
      <c r="D40" s="125">
        <v>2.46</v>
      </c>
      <c r="E40" s="125">
        <v>1.03</v>
      </c>
      <c r="F40" s="125" t="s">
        <v>191</v>
      </c>
      <c r="G40" s="143">
        <f>+AVERAGE(C40:F40)</f>
        <v>1.5599999999999998</v>
      </c>
    </row>
    <row r="41" spans="2:10" x14ac:dyDescent="0.25">
      <c r="B41" s="103" t="s">
        <v>207</v>
      </c>
      <c r="C41" s="125">
        <v>2071.3000000000002</v>
      </c>
      <c r="D41" s="136">
        <v>-30.076000000000001</v>
      </c>
      <c r="E41" s="125">
        <v>4348.2</v>
      </c>
      <c r="F41" s="125">
        <v>349.72800000000001</v>
      </c>
      <c r="G41" s="142"/>
    </row>
    <row r="42" spans="2:10" x14ac:dyDescent="0.25">
      <c r="B42" s="103" t="s">
        <v>81</v>
      </c>
      <c r="C42" s="123">
        <v>1328.9</v>
      </c>
      <c r="D42" s="137">
        <f>+D41</f>
        <v>-30.076000000000001</v>
      </c>
      <c r="E42" s="123">
        <v>4334.8999999999996</v>
      </c>
      <c r="F42" s="123">
        <v>315.87400000000002</v>
      </c>
      <c r="G42" s="142"/>
    </row>
    <row r="43" spans="2:10" x14ac:dyDescent="0.25">
      <c r="B43" s="103" t="s">
        <v>82</v>
      </c>
      <c r="C43" s="123">
        <v>3071.6</v>
      </c>
      <c r="D43" s="137">
        <v>219.55799999999999</v>
      </c>
      <c r="E43" s="123">
        <v>4752.1000000000004</v>
      </c>
      <c r="F43" s="123">
        <v>685.20799999999997</v>
      </c>
      <c r="G43" s="142"/>
    </row>
    <row r="44" spans="2:10" x14ac:dyDescent="0.25">
      <c r="B44" s="103" t="s">
        <v>83</v>
      </c>
      <c r="C44" s="123">
        <v>3684.5</v>
      </c>
      <c r="D44" s="137">
        <f>80.939+68.97+269.465+8.894</f>
        <v>428.26799999999997</v>
      </c>
      <c r="E44" s="123">
        <v>1325.3</v>
      </c>
      <c r="F44" s="123">
        <v>519.09699999999998</v>
      </c>
      <c r="G44" s="128"/>
    </row>
    <row r="45" spans="2:10" x14ac:dyDescent="0.25">
      <c r="B45" s="103"/>
      <c r="G45" s="113"/>
    </row>
    <row r="46" spans="2:10" x14ac:dyDescent="0.25">
      <c r="B46" s="103"/>
      <c r="C46" s="138" t="s">
        <v>248</v>
      </c>
      <c r="G46" s="113"/>
    </row>
    <row r="47" spans="2:10" x14ac:dyDescent="0.25">
      <c r="B47" s="103" t="s">
        <v>84</v>
      </c>
      <c r="C47" s="127">
        <f>IFERROR(C27/C41,0)</f>
        <v>10.197925259257429</v>
      </c>
      <c r="D47" s="127">
        <f t="shared" ref="D47:F47" si="2">IFERROR(D27/D41,0)</f>
        <v>-82.498148689985371</v>
      </c>
      <c r="E47" s="127">
        <f t="shared" si="2"/>
        <v>28.041894577066373</v>
      </c>
      <c r="F47" s="127">
        <f t="shared" si="2"/>
        <v>21.601450547446358</v>
      </c>
      <c r="G47" s="114"/>
    </row>
    <row r="48" spans="2:10" x14ac:dyDescent="0.25">
      <c r="B48" s="103" t="s">
        <v>85</v>
      </c>
      <c r="C48" s="127">
        <f>IFERROR(C32/C35,0)</f>
        <v>7.7443865868804584</v>
      </c>
      <c r="D48" s="127">
        <f t="shared" ref="D48:F48" si="3">IFERROR(D32/D35,0)</f>
        <v>152.51581820006021</v>
      </c>
      <c r="E48" s="127">
        <f t="shared" si="3"/>
        <v>17.868155733607551</v>
      </c>
      <c r="F48" s="127">
        <f t="shared" si="3"/>
        <v>12.437643795339635</v>
      </c>
    </row>
    <row r="49" spans="2:16" x14ac:dyDescent="0.25">
      <c r="B49" s="103" t="s">
        <v>38</v>
      </c>
      <c r="C49" s="127">
        <f>IFERROR(C32/C37,0)</f>
        <v>5.0224845901497375</v>
      </c>
      <c r="D49" s="127">
        <f t="shared" ref="D49:F49" si="4">IFERROR(D32/D37,0)</f>
        <v>24.688578574676804</v>
      </c>
      <c r="E49" s="127">
        <f t="shared" si="4"/>
        <v>15.896553538074484</v>
      </c>
      <c r="F49" s="127">
        <f t="shared" si="4"/>
        <v>7.3920025881712084</v>
      </c>
    </row>
    <row r="50" spans="2:16" x14ac:dyDescent="0.25">
      <c r="B50" s="103" t="s">
        <v>88</v>
      </c>
      <c r="C50" s="127">
        <f>IFERROR(C29/C37,0)</f>
        <v>0.52855687345008562</v>
      </c>
      <c r="D50" s="127">
        <f t="shared" ref="D50:F50" si="5">IFERROR(D29/D37,0)</f>
        <v>4.5396852465406354</v>
      </c>
      <c r="E50" s="127">
        <f t="shared" si="5"/>
        <v>0.39502674680118421</v>
      </c>
      <c r="F50" s="127">
        <f t="shared" si="5"/>
        <v>0.65701096646557411</v>
      </c>
    </row>
    <row r="51" spans="2:16" x14ac:dyDescent="0.25">
      <c r="B51" s="103"/>
      <c r="D51" s="166"/>
      <c r="E51" s="166"/>
      <c r="F51" s="166"/>
    </row>
    <row r="52" spans="2:16" x14ac:dyDescent="0.25">
      <c r="B52" s="103"/>
      <c r="C52" s="167" t="s">
        <v>249</v>
      </c>
      <c r="D52" s="166"/>
      <c r="E52" s="166"/>
      <c r="F52" s="166"/>
    </row>
    <row r="53" spans="2:16" x14ac:dyDescent="0.25">
      <c r="B53" s="103" t="s">
        <v>84</v>
      </c>
      <c r="C53" s="127">
        <f>IFERROR(C28/C41,0)</f>
        <v>25.546793969030301</v>
      </c>
      <c r="D53" s="127">
        <f t="shared" ref="D53:F53" si="6">IFERROR(D28/D41,0)</f>
        <v>-111.64677749700758</v>
      </c>
      <c r="E53" s="127">
        <f t="shared" si="6"/>
        <v>35.212528862517821</v>
      </c>
      <c r="F53" s="127">
        <f t="shared" si="6"/>
        <v>20.550239625217419</v>
      </c>
    </row>
    <row r="54" spans="2:16" x14ac:dyDescent="0.25">
      <c r="B54" s="103" t="s">
        <v>85</v>
      </c>
      <c r="C54" s="127">
        <f>IFERROR(C33/C35,0)</f>
        <v>17.168180681779841</v>
      </c>
      <c r="D54" s="127">
        <f t="shared" ref="D54:F54" si="7">IFERROR(D33/D35,0)</f>
        <v>196.49465636600783</v>
      </c>
      <c r="E54" s="127">
        <f t="shared" si="7"/>
        <v>22.321267406486992</v>
      </c>
      <c r="F54" s="127">
        <f t="shared" si="7"/>
        <v>11.916666719072706</v>
      </c>
    </row>
    <row r="55" spans="2:16" x14ac:dyDescent="0.25">
      <c r="B55" s="103" t="s">
        <v>38</v>
      </c>
      <c r="C55" s="127">
        <f>IFERROR(C33/C37,0)</f>
        <v>11.134119138786303</v>
      </c>
      <c r="D55" s="127">
        <f t="shared" ref="D55:F55" si="8">IFERROR(D33/D37,0)</f>
        <v>31.807676216462031</v>
      </c>
      <c r="E55" s="127">
        <f t="shared" si="8"/>
        <v>19.858301419295813</v>
      </c>
      <c r="F55" s="127">
        <f t="shared" si="8"/>
        <v>7.0823728898527865</v>
      </c>
    </row>
    <row r="56" spans="2:16" x14ac:dyDescent="0.25">
      <c r="E56" s="89"/>
    </row>
    <row r="57" spans="2:16" s="3" customFormat="1" x14ac:dyDescent="0.25">
      <c r="B57" s="99"/>
    </row>
    <row r="59" spans="2:16" ht="30" x14ac:dyDescent="0.4">
      <c r="B59" s="100" t="s">
        <v>260</v>
      </c>
      <c r="J59" s="132"/>
    </row>
    <row r="60" spans="2:16" x14ac:dyDescent="0.25">
      <c r="B60" s="103" t="s">
        <v>250</v>
      </c>
      <c r="C60" s="176" t="s">
        <v>261</v>
      </c>
      <c r="J60" s="132"/>
    </row>
    <row r="61" spans="2:16" x14ac:dyDescent="0.25">
      <c r="C61" s="5">
        <v>2014</v>
      </c>
      <c r="D61" s="5">
        <v>2015</v>
      </c>
      <c r="E61" s="5">
        <v>2016</v>
      </c>
      <c r="F61" s="5">
        <v>2017</v>
      </c>
      <c r="G61" s="5">
        <v>2018</v>
      </c>
      <c r="H61" s="5">
        <v>2019</v>
      </c>
      <c r="I61" s="5">
        <v>2020</v>
      </c>
      <c r="J61" s="5">
        <v>2021</v>
      </c>
      <c r="K61" s="5">
        <v>2022</v>
      </c>
      <c r="L61" s="5">
        <v>2023</v>
      </c>
      <c r="M61" s="5">
        <v>2024</v>
      </c>
      <c r="N61" s="5">
        <v>2025</v>
      </c>
      <c r="O61" s="5" t="s">
        <v>216</v>
      </c>
      <c r="P61" s="5" t="s">
        <v>217</v>
      </c>
    </row>
    <row r="62" spans="2:16" x14ac:dyDescent="0.25">
      <c r="B62" s="103" t="s">
        <v>86</v>
      </c>
      <c r="C62" s="108">
        <v>7.51</v>
      </c>
      <c r="D62" s="108">
        <v>4.67</v>
      </c>
      <c r="E62" s="108">
        <v>6.75</v>
      </c>
      <c r="F62" s="108">
        <v>10.050000000000001</v>
      </c>
      <c r="G62" s="108">
        <v>7.83</v>
      </c>
      <c r="H62" s="108">
        <v>9.17</v>
      </c>
      <c r="I62" s="108">
        <v>14.41</v>
      </c>
      <c r="J62" s="108">
        <v>13.39</v>
      </c>
      <c r="K62" s="108">
        <v>15.41</v>
      </c>
      <c r="L62" s="108">
        <v>16.78</v>
      </c>
      <c r="M62" s="108">
        <v>16.96</v>
      </c>
      <c r="N62" s="108">
        <v>15.91</v>
      </c>
      <c r="O62" s="128"/>
      <c r="P62" s="128"/>
    </row>
    <row r="63" spans="2:16" x14ac:dyDescent="0.25">
      <c r="B63" s="103" t="s">
        <v>206</v>
      </c>
      <c r="C63" s="163">
        <v>1.6464000000000001</v>
      </c>
      <c r="D63" s="163">
        <v>1.4838</v>
      </c>
      <c r="E63" s="163">
        <v>1.2357</v>
      </c>
      <c r="F63" s="163">
        <v>1.3507</v>
      </c>
      <c r="G63" s="163">
        <v>1.2694000000000001</v>
      </c>
      <c r="H63" s="163">
        <v>1.3104</v>
      </c>
      <c r="I63" s="163">
        <v>1.3624000000000001</v>
      </c>
      <c r="J63" s="163">
        <v>1.3504</v>
      </c>
      <c r="K63" s="163">
        <v>1.2089000000000001</v>
      </c>
      <c r="L63" s="163">
        <v>1.2738</v>
      </c>
      <c r="M63" s="163">
        <v>1.2548999999999999</v>
      </c>
      <c r="N63" s="163">
        <v>1.3467</v>
      </c>
      <c r="O63" s="128"/>
      <c r="P63" s="128"/>
    </row>
    <row r="64" spans="2:16" x14ac:dyDescent="0.25">
      <c r="B64" s="103" t="s">
        <v>60</v>
      </c>
      <c r="C64" s="106">
        <v>985.85669499999995</v>
      </c>
      <c r="D64" s="106">
        <v>985.85669499999995</v>
      </c>
      <c r="E64" s="106">
        <v>985.85669499999995</v>
      </c>
      <c r="F64" s="106">
        <v>985.85669499999995</v>
      </c>
      <c r="G64" s="106">
        <v>985.85669499999995</v>
      </c>
      <c r="H64" s="106">
        <v>985.85669499999995</v>
      </c>
      <c r="I64" s="106">
        <v>985.85669499999995</v>
      </c>
      <c r="J64" s="106">
        <v>985.85669499999995</v>
      </c>
      <c r="K64" s="106">
        <v>985.85669499999995</v>
      </c>
      <c r="L64" s="106">
        <v>985.85669499999995</v>
      </c>
      <c r="M64" s="106">
        <v>985.85669499999995</v>
      </c>
      <c r="N64" s="106">
        <v>985.85669499999995</v>
      </c>
      <c r="O64" s="128"/>
      <c r="P64" s="128"/>
    </row>
    <row r="65" spans="2:16" x14ac:dyDescent="0.25">
      <c r="B65" s="103" t="s">
        <v>35</v>
      </c>
      <c r="C65" s="131">
        <f>+C64*E62*E63</f>
        <v>8223.0060465776241</v>
      </c>
      <c r="D65" s="131">
        <f>+D64*E62*E63</f>
        <v>8223.0060465776241</v>
      </c>
      <c r="E65" s="131">
        <f>+E64*F62*F63</f>
        <v>13382.546211261826</v>
      </c>
      <c r="F65" s="131">
        <f>+F64*G62*G63</f>
        <v>9798.8260059963904</v>
      </c>
      <c r="G65" s="131">
        <f t="shared" ref="G65:N65" si="9">+G64*G62*G63</f>
        <v>9798.8260059963904</v>
      </c>
      <c r="H65" s="131">
        <f t="shared" si="9"/>
        <v>11846.41684238376</v>
      </c>
      <c r="I65" s="131">
        <f t="shared" si="9"/>
        <v>19354.520033871882</v>
      </c>
      <c r="J65" s="131">
        <f t="shared" si="9"/>
        <v>17826.11879562592</v>
      </c>
      <c r="K65" s="131">
        <f t="shared" si="9"/>
        <v>18365.671263802553</v>
      </c>
      <c r="L65" s="131">
        <f t="shared" si="9"/>
        <v>21072.059850766978</v>
      </c>
      <c r="M65" s="131">
        <f t="shared" si="9"/>
        <v>20982.090568781277</v>
      </c>
      <c r="N65" s="131">
        <f t="shared" si="9"/>
        <v>21122.962589499915</v>
      </c>
      <c r="O65" s="128"/>
      <c r="P65" s="128"/>
    </row>
    <row r="66" spans="2:16" x14ac:dyDescent="0.25">
      <c r="B66" s="103" t="s">
        <v>63</v>
      </c>
      <c r="C66" s="124">
        <v>5145.6000000000004</v>
      </c>
      <c r="D66" s="124">
        <v>3394.6</v>
      </c>
      <c r="E66" s="124">
        <v>3621.7</v>
      </c>
      <c r="F66" s="124">
        <v>4749.3999999999996</v>
      </c>
      <c r="G66" s="124">
        <v>4733.1000000000004</v>
      </c>
      <c r="H66" s="124">
        <v>4964.5</v>
      </c>
      <c r="I66" s="124">
        <v>5129.3</v>
      </c>
      <c r="J66" s="124">
        <v>7470.1</v>
      </c>
      <c r="K66" s="124">
        <v>5862</v>
      </c>
      <c r="L66" s="124">
        <v>6324.5</v>
      </c>
      <c r="M66" s="124">
        <v>6613.4</v>
      </c>
      <c r="N66" s="124">
        <v>8620.2999999999993</v>
      </c>
      <c r="O66" s="128"/>
      <c r="P66" s="128"/>
    </row>
    <row r="67" spans="2:16" x14ac:dyDescent="0.25">
      <c r="B67" s="103" t="s">
        <v>0</v>
      </c>
      <c r="C67" s="124">
        <v>2141.04</v>
      </c>
      <c r="D67" s="124">
        <v>890.7</v>
      </c>
      <c r="E67" s="124">
        <v>1626.1</v>
      </c>
      <c r="F67" s="124">
        <v>2586.6</v>
      </c>
      <c r="G67" s="124">
        <v>2228</v>
      </c>
      <c r="H67" s="124">
        <v>2439</v>
      </c>
      <c r="I67" s="124">
        <v>2739</v>
      </c>
      <c r="J67" s="124">
        <v>4836</v>
      </c>
      <c r="K67" s="124">
        <v>2930</v>
      </c>
      <c r="L67" s="124">
        <v>3087</v>
      </c>
      <c r="M67" s="124">
        <v>3427</v>
      </c>
      <c r="N67" s="124">
        <v>5201.8999999999996</v>
      </c>
      <c r="O67" s="128"/>
      <c r="P67" s="128"/>
    </row>
    <row r="68" spans="2:16" x14ac:dyDescent="0.25">
      <c r="B68" s="103" t="s">
        <v>80</v>
      </c>
      <c r="C68" s="107">
        <f t="shared" ref="C68:H68" si="10">+IFERROR(C67/C66,0)</f>
        <v>0.41609141791044774</v>
      </c>
      <c r="D68" s="107">
        <f t="shared" si="10"/>
        <v>0.26238732103929774</v>
      </c>
      <c r="E68" s="107">
        <f t="shared" si="10"/>
        <v>0.44898804428859374</v>
      </c>
      <c r="F68" s="107">
        <f t="shared" si="10"/>
        <v>0.54461616204152108</v>
      </c>
      <c r="G68" s="107">
        <f t="shared" si="10"/>
        <v>0.47072743022543362</v>
      </c>
      <c r="H68" s="107">
        <f t="shared" si="10"/>
        <v>0.49128814583543157</v>
      </c>
      <c r="I68" s="107">
        <f t="shared" ref="I68:N68" si="11">+IFERROR(I67/I66,0)</f>
        <v>0.53399099292301089</v>
      </c>
      <c r="J68" s="107">
        <f t="shared" si="11"/>
        <v>0.64738089182206393</v>
      </c>
      <c r="K68" s="107">
        <f t="shared" si="11"/>
        <v>0.49982940975776186</v>
      </c>
      <c r="L68" s="107">
        <f t="shared" si="11"/>
        <v>0.48810182623132264</v>
      </c>
      <c r="M68" s="107">
        <f t="shared" si="11"/>
        <v>0.51819034082317716</v>
      </c>
      <c r="N68" s="107">
        <f t="shared" si="11"/>
        <v>0.60344767583494774</v>
      </c>
      <c r="O68" s="128"/>
      <c r="P68" s="128"/>
    </row>
    <row r="69" spans="2:16" x14ac:dyDescent="0.25">
      <c r="B69" s="103" t="s">
        <v>1</v>
      </c>
      <c r="C69" s="124">
        <v>1579.5</v>
      </c>
      <c r="D69" s="124">
        <v>298.60000000000002</v>
      </c>
      <c r="E69" s="124">
        <v>355.7</v>
      </c>
      <c r="F69" s="124">
        <v>1900.8</v>
      </c>
      <c r="G69" s="124">
        <v>1367.2</v>
      </c>
      <c r="H69" s="124">
        <v>1400.2</v>
      </c>
      <c r="I69" s="124">
        <v>1516.5</v>
      </c>
      <c r="J69" s="124">
        <v>3461.1</v>
      </c>
      <c r="K69" s="124">
        <v>2627.1</v>
      </c>
      <c r="L69" s="124">
        <v>1769.3</v>
      </c>
      <c r="M69" s="124">
        <v>2084.9</v>
      </c>
      <c r="N69" s="124">
        <v>3373.6</v>
      </c>
      <c r="O69" s="128"/>
      <c r="P69" s="128"/>
    </row>
    <row r="70" spans="2:16" x14ac:dyDescent="0.25">
      <c r="B70" s="103" t="s">
        <v>87</v>
      </c>
      <c r="C70" s="107">
        <f t="shared" ref="C70:H70" si="12">IFERROR(C69/C66,0)</f>
        <v>0.30696128731343281</v>
      </c>
      <c r="D70" s="107">
        <f t="shared" si="12"/>
        <v>8.7963235727331654E-2</v>
      </c>
      <c r="E70" s="107">
        <f t="shared" si="12"/>
        <v>9.8213546124748044E-2</v>
      </c>
      <c r="F70" s="107">
        <f t="shared" si="12"/>
        <v>0.40021897502842468</v>
      </c>
      <c r="G70" s="107">
        <f t="shared" si="12"/>
        <v>0.28885930996598425</v>
      </c>
      <c r="H70" s="107">
        <f t="shared" si="12"/>
        <v>0.28204250176251383</v>
      </c>
      <c r="I70" s="107">
        <f t="shared" ref="I70:N70" si="13">IFERROR(I69/I66,0)</f>
        <v>0.29565437779034176</v>
      </c>
      <c r="J70" s="107">
        <f t="shared" si="13"/>
        <v>0.46332713082823518</v>
      </c>
      <c r="K70" s="107">
        <f t="shared" si="13"/>
        <v>0.44815762538382803</v>
      </c>
      <c r="L70" s="107">
        <f t="shared" si="13"/>
        <v>0.27975334018499487</v>
      </c>
      <c r="M70" s="107">
        <f t="shared" si="13"/>
        <v>0.31525387848912817</v>
      </c>
      <c r="N70" s="107">
        <f t="shared" si="13"/>
        <v>0.39135528925907453</v>
      </c>
      <c r="O70" s="128"/>
      <c r="P70" s="128"/>
    </row>
    <row r="71" spans="2:16" x14ac:dyDescent="0.25">
      <c r="B71" s="138" t="s">
        <v>213</v>
      </c>
      <c r="C71" s="131">
        <v>1.83</v>
      </c>
      <c r="D71" s="131">
        <v>1.81</v>
      </c>
      <c r="E71" s="131">
        <v>1.54</v>
      </c>
      <c r="F71" s="131">
        <v>1.6</v>
      </c>
      <c r="G71" s="131">
        <v>1.72</v>
      </c>
      <c r="H71" s="131">
        <v>1.65</v>
      </c>
      <c r="I71" s="131">
        <v>1.56</v>
      </c>
      <c r="J71" s="131">
        <v>1.79</v>
      </c>
      <c r="K71" s="131">
        <v>2.19</v>
      </c>
      <c r="L71" s="131">
        <v>2.31</v>
      </c>
      <c r="M71" s="131">
        <v>2.37</v>
      </c>
      <c r="N71" s="131">
        <v>2.38</v>
      </c>
      <c r="O71" s="130">
        <f>+AVERAGE(E71:N71)</f>
        <v>1.911</v>
      </c>
      <c r="P71" s="130">
        <f>+AVERAGE(L71:N71)</f>
        <v>2.3533333333333331</v>
      </c>
    </row>
    <row r="72" spans="2:16" x14ac:dyDescent="0.25">
      <c r="B72" s="138" t="s">
        <v>214</v>
      </c>
      <c r="C72" s="131">
        <v>1.43</v>
      </c>
      <c r="D72" s="131">
        <v>1.5</v>
      </c>
      <c r="E72" s="131">
        <v>1.2</v>
      </c>
      <c r="F72" s="131">
        <v>1.25</v>
      </c>
      <c r="G72" s="131">
        <v>1.29</v>
      </c>
      <c r="H72" s="131">
        <v>1.22</v>
      </c>
      <c r="I72" s="131">
        <v>1.1399999999999999</v>
      </c>
      <c r="J72" s="131">
        <v>1.2</v>
      </c>
      <c r="K72" s="131">
        <v>1.61</v>
      </c>
      <c r="L72" s="131">
        <v>1.61</v>
      </c>
      <c r="M72" s="131">
        <v>1.64</v>
      </c>
      <c r="N72" s="131">
        <v>1.19</v>
      </c>
      <c r="O72" s="130">
        <f>+AVERAGE(E72:N72)</f>
        <v>1.335</v>
      </c>
      <c r="P72" s="130">
        <f>+AVERAGE(L72:N72)</f>
        <v>1.4799999999999998</v>
      </c>
    </row>
    <row r="73" spans="2:16" x14ac:dyDescent="0.25">
      <c r="B73" s="103" t="s">
        <v>212</v>
      </c>
      <c r="C73" s="124">
        <v>4598.8</v>
      </c>
      <c r="D73" s="124">
        <v>608.20000000000005</v>
      </c>
      <c r="E73" s="124">
        <v>158</v>
      </c>
      <c r="F73" s="124">
        <v>750.6</v>
      </c>
      <c r="G73" s="124">
        <v>543.70000000000005</v>
      </c>
      <c r="H73" s="124">
        <v>501.4</v>
      </c>
      <c r="I73" s="124">
        <v>506.4</v>
      </c>
      <c r="J73" s="124">
        <v>1290.2</v>
      </c>
      <c r="K73" s="124">
        <v>1533</v>
      </c>
      <c r="L73" s="124">
        <v>835.1</v>
      </c>
      <c r="M73" s="124">
        <v>829.4</v>
      </c>
      <c r="N73" s="144">
        <v>1328.9</v>
      </c>
      <c r="O73" s="128"/>
      <c r="P73" s="128"/>
    </row>
    <row r="74" spans="2:16" x14ac:dyDescent="0.25">
      <c r="B74" s="103" t="s">
        <v>93</v>
      </c>
      <c r="C74" s="124">
        <f t="shared" ref="C74:N74" si="14">+IFERROR(C73/C64,0)</f>
        <v>4.6647753403956953</v>
      </c>
      <c r="D74" s="124">
        <f t="shared" si="14"/>
        <v>0.61692536357933858</v>
      </c>
      <c r="E74" s="124">
        <f t="shared" si="14"/>
        <v>0.16026670083119943</v>
      </c>
      <c r="F74" s="124">
        <f t="shared" si="14"/>
        <v>0.76136826356897647</v>
      </c>
      <c r="G74" s="124">
        <f t="shared" si="14"/>
        <v>0.55150003317672869</v>
      </c>
      <c r="H74" s="124">
        <f t="shared" si="14"/>
        <v>0.50859318858711</v>
      </c>
      <c r="I74" s="124">
        <f t="shared" si="14"/>
        <v>0.51366491962607208</v>
      </c>
      <c r="J74" s="124">
        <f t="shared" si="14"/>
        <v>1.3087094772937562</v>
      </c>
      <c r="K74" s="124">
        <f t="shared" si="14"/>
        <v>1.5549927365457512</v>
      </c>
      <c r="L74" s="124">
        <f t="shared" si="14"/>
        <v>0.84708051812743446</v>
      </c>
      <c r="M74" s="124">
        <f t="shared" si="14"/>
        <v>0.84129874474301769</v>
      </c>
      <c r="N74" s="124">
        <f t="shared" si="14"/>
        <v>1.3479646755353223</v>
      </c>
      <c r="O74" s="128"/>
      <c r="P74" s="128"/>
    </row>
    <row r="75" spans="2:16" x14ac:dyDescent="0.25">
      <c r="B75" s="103" t="s">
        <v>94</v>
      </c>
      <c r="C75" s="127">
        <f t="shared" ref="C75:N75" si="15">IFERROR(C65/C73,0)</f>
        <v>1.7880764648555327</v>
      </c>
      <c r="D75" s="127">
        <f t="shared" si="15"/>
        <v>13.52023355241306</v>
      </c>
      <c r="E75" s="127">
        <f t="shared" si="15"/>
        <v>84.699659564948263</v>
      </c>
      <c r="F75" s="127">
        <f t="shared" si="15"/>
        <v>13.054657615236332</v>
      </c>
      <c r="G75" s="127">
        <f t="shared" si="15"/>
        <v>18.022486676469356</v>
      </c>
      <c r="H75" s="127">
        <f t="shared" si="15"/>
        <v>23.626678983613402</v>
      </c>
      <c r="I75" s="127">
        <f t="shared" si="15"/>
        <v>38.219826291216201</v>
      </c>
      <c r="J75" s="127">
        <f t="shared" si="15"/>
        <v>13.81655463930082</v>
      </c>
      <c r="K75" s="127">
        <f t="shared" si="15"/>
        <v>11.98021608858614</v>
      </c>
      <c r="L75" s="127">
        <f t="shared" si="15"/>
        <v>25.232977907755931</v>
      </c>
      <c r="M75" s="127">
        <f t="shared" si="15"/>
        <v>25.297914840585094</v>
      </c>
      <c r="N75" s="127">
        <f t="shared" si="15"/>
        <v>15.895073060049601</v>
      </c>
      <c r="O75" s="129">
        <f>+AVERAGE(E75:N75)</f>
        <v>26.984604566776113</v>
      </c>
      <c r="P75" s="129">
        <f>+AVERAGE(L75:N75)</f>
        <v>22.141988602796875</v>
      </c>
    </row>
    <row r="76" spans="2:16" x14ac:dyDescent="0.25">
      <c r="B76" s="103"/>
      <c r="C76" s="90"/>
      <c r="D76" s="90"/>
      <c r="E76" s="90"/>
      <c r="F76" s="90"/>
    </row>
    <row r="78" spans="2:16" s="3" customFormat="1" x14ac:dyDescent="0.25">
      <c r="B78" s="99"/>
    </row>
    <row r="80" spans="2:16" ht="30" x14ac:dyDescent="0.4">
      <c r="B80" s="100" t="s">
        <v>262</v>
      </c>
    </row>
    <row r="81" spans="2:16" x14ac:dyDescent="0.25">
      <c r="B81" s="103" t="s">
        <v>250</v>
      </c>
      <c r="C81" s="176" t="s">
        <v>263</v>
      </c>
    </row>
    <row r="82" spans="2:16" x14ac:dyDescent="0.25">
      <c r="C82" s="5">
        <v>2014</v>
      </c>
      <c r="D82" s="5">
        <v>2015</v>
      </c>
      <c r="E82" s="5">
        <v>2016</v>
      </c>
      <c r="F82" s="5">
        <v>2017</v>
      </c>
      <c r="G82" s="5">
        <v>2018</v>
      </c>
      <c r="H82" s="5">
        <v>2019</v>
      </c>
      <c r="I82" s="5">
        <v>2020</v>
      </c>
      <c r="J82" s="5">
        <v>2021</v>
      </c>
      <c r="K82" s="5">
        <v>2022</v>
      </c>
      <c r="L82" s="5">
        <v>2023</v>
      </c>
      <c r="M82" s="5">
        <v>2024</v>
      </c>
      <c r="N82" s="5">
        <v>2025</v>
      </c>
      <c r="O82" s="5" t="s">
        <v>216</v>
      </c>
      <c r="P82" s="5" t="s">
        <v>217</v>
      </c>
    </row>
    <row r="83" spans="2:16" x14ac:dyDescent="0.25">
      <c r="B83" s="103" t="s">
        <v>86</v>
      </c>
      <c r="C83" s="151">
        <v>0.76</v>
      </c>
      <c r="D83" s="151">
        <v>3</v>
      </c>
      <c r="E83" s="151">
        <v>0.83</v>
      </c>
      <c r="F83" s="151">
        <v>1.93</v>
      </c>
      <c r="G83" s="151">
        <v>0.4</v>
      </c>
      <c r="H83" s="151">
        <v>0.41</v>
      </c>
      <c r="I83" s="151">
        <v>1.06</v>
      </c>
      <c r="J83" s="151">
        <v>1.76</v>
      </c>
      <c r="K83" s="151">
        <v>1.4</v>
      </c>
      <c r="L83" s="151">
        <v>1.26</v>
      </c>
      <c r="M83" s="151">
        <v>2.77</v>
      </c>
      <c r="N83" s="151">
        <v>7.67</v>
      </c>
      <c r="O83" s="128"/>
      <c r="P83" s="128"/>
    </row>
    <row r="84" spans="2:16" x14ac:dyDescent="0.25">
      <c r="B84" s="103" t="s">
        <v>60</v>
      </c>
      <c r="C84" s="106">
        <v>197.65799999999999</v>
      </c>
      <c r="D84" s="106">
        <v>221.809</v>
      </c>
      <c r="E84" s="106">
        <v>221.828</v>
      </c>
      <c r="F84" s="106">
        <v>225.68199999999999</v>
      </c>
      <c r="G84" s="106">
        <v>227.86600000000001</v>
      </c>
      <c r="H84" s="106">
        <v>243.91399999999999</v>
      </c>
      <c r="I84" s="106">
        <v>250.529</v>
      </c>
      <c r="J84" s="106">
        <v>283.59300000000002</v>
      </c>
      <c r="K84" s="106">
        <v>286.23599999999999</v>
      </c>
      <c r="L84" s="106">
        <v>288.56</v>
      </c>
      <c r="M84" s="106">
        <v>295.30599999999998</v>
      </c>
      <c r="N84" s="106">
        <v>323.49599999999998</v>
      </c>
      <c r="O84" s="128"/>
      <c r="P84" s="128"/>
    </row>
    <row r="85" spans="2:16" x14ac:dyDescent="0.25">
      <c r="B85" s="103" t="s">
        <v>35</v>
      </c>
      <c r="C85" s="152">
        <f t="shared" ref="C85:K85" si="16">+C83*C84</f>
        <v>150.22008</v>
      </c>
      <c r="D85" s="152">
        <f t="shared" si="16"/>
        <v>665.42700000000002</v>
      </c>
      <c r="E85" s="152">
        <f t="shared" si="16"/>
        <v>184.11723999999998</v>
      </c>
      <c r="F85" s="152">
        <f t="shared" si="16"/>
        <v>435.56625999999994</v>
      </c>
      <c r="G85" s="152">
        <f t="shared" si="16"/>
        <v>91.146400000000014</v>
      </c>
      <c r="H85" s="152">
        <f t="shared" si="16"/>
        <v>100.00473999999998</v>
      </c>
      <c r="I85" s="152">
        <f t="shared" si="16"/>
        <v>265.56074000000001</v>
      </c>
      <c r="J85" s="152">
        <f t="shared" si="16"/>
        <v>499.12368000000004</v>
      </c>
      <c r="K85" s="152">
        <f t="shared" si="16"/>
        <v>400.73039999999997</v>
      </c>
      <c r="L85" s="152">
        <f>+L83*L84</f>
        <v>363.5856</v>
      </c>
      <c r="M85" s="152">
        <f>+M83*M84</f>
        <v>817.99761999999998</v>
      </c>
      <c r="N85" s="152">
        <f>+N83*N84</f>
        <v>2481.21432</v>
      </c>
      <c r="O85" s="128"/>
      <c r="P85" s="128"/>
    </row>
    <row r="86" spans="2:16" x14ac:dyDescent="0.25">
      <c r="B86" s="103" t="s">
        <v>63</v>
      </c>
      <c r="C86" s="151">
        <v>342.94600000000003</v>
      </c>
      <c r="D86" s="151">
        <v>289.298</v>
      </c>
      <c r="E86" s="151">
        <v>263.86500000000001</v>
      </c>
      <c r="F86" s="151">
        <v>378.29899999999998</v>
      </c>
      <c r="G86" s="151">
        <v>343.87</v>
      </c>
      <c r="H86" s="151">
        <v>329.16300000000001</v>
      </c>
      <c r="I86" s="151">
        <v>343.267</v>
      </c>
      <c r="J86" s="151">
        <v>433.27800000000002</v>
      </c>
      <c r="K86" s="151">
        <v>391.60899999999998</v>
      </c>
      <c r="L86" s="151">
        <v>524.97199999999998</v>
      </c>
      <c r="M86" s="151">
        <v>608.09299999999996</v>
      </c>
      <c r="N86" s="151">
        <v>672.904</v>
      </c>
      <c r="O86" s="128"/>
      <c r="P86" s="128"/>
    </row>
    <row r="87" spans="2:16" x14ac:dyDescent="0.25">
      <c r="B87" s="103" t="s">
        <v>0</v>
      </c>
      <c r="C87" s="151">
        <f>+C89+47.338</f>
        <v>25.645</v>
      </c>
      <c r="D87" s="151">
        <f>+D89+50.637</f>
        <v>49.957000000000001</v>
      </c>
      <c r="E87" s="151">
        <f>+E89+57.819</f>
        <v>32.158000000000001</v>
      </c>
      <c r="F87" s="151">
        <f>+F89+49.505</f>
        <v>141.58799999999999</v>
      </c>
      <c r="G87" s="151">
        <f>+G89+70.781</f>
        <v>99.016000000000005</v>
      </c>
      <c r="H87" s="151">
        <f>+H89+109.756</f>
        <v>48.38</v>
      </c>
      <c r="I87" s="151">
        <f>+I89+103.469</f>
        <v>109.518</v>
      </c>
      <c r="J87" s="151">
        <f>+J89+79.123</f>
        <v>209.36700000000002</v>
      </c>
      <c r="K87" s="151">
        <f>+K89+55.731</f>
        <v>111.592</v>
      </c>
      <c r="L87" s="151">
        <f>+L89+68.74</f>
        <v>193.86099999999999</v>
      </c>
      <c r="M87" s="151">
        <v>178.02600000000001</v>
      </c>
      <c r="N87" s="151">
        <f>+N89+103.21</f>
        <v>123.14399999999999</v>
      </c>
      <c r="O87" s="128"/>
      <c r="P87" s="128"/>
    </row>
    <row r="88" spans="2:16" x14ac:dyDescent="0.25">
      <c r="B88" s="103" t="s">
        <v>80</v>
      </c>
      <c r="C88" s="153">
        <f>+IFERROR(C87/C86,0)</f>
        <v>7.4778536562607523E-2</v>
      </c>
      <c r="D88" s="153">
        <f t="shared" ref="D88" si="17">+IFERROR(D87/D86,0)</f>
        <v>0.17268353047722418</v>
      </c>
      <c r="E88" s="153">
        <f t="shared" ref="E88" si="18">+IFERROR(E87/E86,0)</f>
        <v>0.12187292744395808</v>
      </c>
      <c r="F88" s="153">
        <f t="shared" ref="F88" si="19">+IFERROR(F87/F86,0)</f>
        <v>0.37427537476969275</v>
      </c>
      <c r="G88" s="153">
        <f t="shared" ref="G88:H88" si="20">+IFERROR(G87/G86,0)</f>
        <v>0.28794602611452003</v>
      </c>
      <c r="H88" s="153">
        <f t="shared" si="20"/>
        <v>0.1469788524226599</v>
      </c>
      <c r="I88" s="153">
        <f t="shared" ref="I88" si="21">+IFERROR(I87/I86,0)</f>
        <v>0.31904610696629737</v>
      </c>
      <c r="J88" s="153">
        <f t="shared" ref="J88:K88" si="22">+IFERROR(J87/J86,0)</f>
        <v>0.48321631839142537</v>
      </c>
      <c r="K88" s="153">
        <f t="shared" si="22"/>
        <v>0.28495770015500155</v>
      </c>
      <c r="L88" s="153">
        <f t="shared" ref="L88:N88" si="23">+IFERROR(L87/L86,0)</f>
        <v>0.3692787424853135</v>
      </c>
      <c r="M88" s="153">
        <f t="shared" si="23"/>
        <v>0.29276114015454874</v>
      </c>
      <c r="N88" s="153">
        <f t="shared" si="23"/>
        <v>0.18300381629474635</v>
      </c>
      <c r="O88" s="128"/>
      <c r="P88" s="128"/>
    </row>
    <row r="89" spans="2:16" x14ac:dyDescent="0.25">
      <c r="B89" s="103" t="s">
        <v>1</v>
      </c>
      <c r="C89" s="151">
        <v>-21.693000000000001</v>
      </c>
      <c r="D89" s="151">
        <v>-0.68</v>
      </c>
      <c r="E89" s="151">
        <v>-25.661000000000001</v>
      </c>
      <c r="F89" s="151">
        <v>92.082999999999998</v>
      </c>
      <c r="G89" s="151">
        <v>28.234999999999999</v>
      </c>
      <c r="H89" s="151">
        <v>-61.375999999999998</v>
      </c>
      <c r="I89" s="151">
        <v>6.0490000000000004</v>
      </c>
      <c r="J89" s="151">
        <v>130.244</v>
      </c>
      <c r="K89" s="151">
        <v>55.860999999999997</v>
      </c>
      <c r="L89" s="151">
        <v>125.121</v>
      </c>
      <c r="M89" s="151">
        <v>103.705</v>
      </c>
      <c r="N89" s="151">
        <v>19.934000000000001</v>
      </c>
      <c r="O89" s="128"/>
      <c r="P89" s="128"/>
    </row>
    <row r="90" spans="2:16" x14ac:dyDescent="0.25">
      <c r="B90" s="103" t="s">
        <v>87</v>
      </c>
      <c r="C90" s="153">
        <f>IFERROR(C89/C86,0)</f>
        <v>-6.3254856449703453E-2</v>
      </c>
      <c r="D90" s="153">
        <f t="shared" ref="D90" si="24">IFERROR(D89/D86,0)</f>
        <v>-2.3505174595054236E-3</v>
      </c>
      <c r="E90" s="153">
        <f t="shared" ref="E90" si="25">IFERROR(E89/E86,0)</f>
        <v>-9.7250487938908156E-2</v>
      </c>
      <c r="F90" s="153">
        <f t="shared" ref="F90" si="26">IFERROR(F89/F86,0)</f>
        <v>0.24341327891429795</v>
      </c>
      <c r="G90" s="153">
        <f t="shared" ref="G90:H90" si="27">IFERROR(G89/G86,0)</f>
        <v>8.2109518131852147E-2</v>
      </c>
      <c r="H90" s="153">
        <f t="shared" si="27"/>
        <v>-0.18646081120903624</v>
      </c>
      <c r="I90" s="153">
        <f t="shared" ref="I90" si="28">IFERROR(I89/I86,0)</f>
        <v>1.7621851212030287E-2</v>
      </c>
      <c r="J90" s="153">
        <f t="shared" ref="J90:K90" si="29">IFERROR(J89/J86,0)</f>
        <v>0.30060146141738098</v>
      </c>
      <c r="K90" s="153">
        <f t="shared" si="29"/>
        <v>0.1426448319624932</v>
      </c>
      <c r="L90" s="153">
        <f t="shared" ref="L90:N90" si="30">IFERROR(L89/L86,0)</f>
        <v>0.23833842566841659</v>
      </c>
      <c r="M90" s="153">
        <f t="shared" si="30"/>
        <v>0.17054134811615987</v>
      </c>
      <c r="N90" s="153">
        <f t="shared" si="30"/>
        <v>2.9623839358957595E-2</v>
      </c>
      <c r="O90" s="128"/>
      <c r="P90" s="128"/>
    </row>
    <row r="91" spans="2:16" x14ac:dyDescent="0.25">
      <c r="B91" s="138" t="s">
        <v>105</v>
      </c>
      <c r="C91" s="154"/>
      <c r="D91" s="154">
        <f>+(1.85+1.76+1.97+2.39)/4</f>
        <v>1.9925000000000002</v>
      </c>
      <c r="E91" s="154">
        <f>+(1.48+1.89+2.07+2.11)</f>
        <v>7.5499999999999989</v>
      </c>
      <c r="F91" s="154">
        <f>+(2.11+1.18+1.31+1.33)/4</f>
        <v>1.4824999999999999</v>
      </c>
      <c r="G91" s="154">
        <f>+(2.11+1.58+1.98+2.33)/4</f>
        <v>2</v>
      </c>
      <c r="H91" s="154">
        <f>+(2.01+2.05+2.01+2.21)/4</f>
        <v>2.0699999999999998</v>
      </c>
      <c r="I91" s="154">
        <f>+(2.82+2+1.34+1.82)/4</f>
        <v>1.9950000000000001</v>
      </c>
      <c r="J91" s="154">
        <f>+(1.94+1.57+2.02+2.23)/4</f>
        <v>1.94</v>
      </c>
      <c r="K91" s="154">
        <f>+(2.75+2.72+3.47+3.13)/4</f>
        <v>3.0175000000000001</v>
      </c>
      <c r="L91" s="154">
        <f>+(1.91+2.2+2.66+2.94)/4</f>
        <v>2.4275000000000002</v>
      </c>
      <c r="M91" s="154">
        <v>2.66</v>
      </c>
      <c r="N91" s="154">
        <v>2.66</v>
      </c>
      <c r="O91" s="130">
        <f>+AVERAGE(E91:N91)</f>
        <v>2.7802500000000001</v>
      </c>
      <c r="P91" s="130">
        <f>+AVERAGE(L91:N91)</f>
        <v>2.5825</v>
      </c>
    </row>
    <row r="92" spans="2:16" x14ac:dyDescent="0.25">
      <c r="B92" s="138" t="s">
        <v>214</v>
      </c>
      <c r="C92" s="154"/>
      <c r="D92" s="154">
        <f>+(1.52+1.42+1.54+2)/4</f>
        <v>1.62</v>
      </c>
      <c r="E92" s="154">
        <f>+(1.12+1.58+1.74+1.78)/4</f>
        <v>1.5550000000000002</v>
      </c>
      <c r="F92" s="154">
        <f>+(1.69+0.88+0.97+1)/4</f>
        <v>1.135</v>
      </c>
      <c r="G92" s="154">
        <f>+(1.62+1.34+1.66+2.02)/4</f>
        <v>1.6600000000000001</v>
      </c>
      <c r="H92" s="154">
        <f>+(1.69+1.72+1.71+1.91)/4</f>
        <v>1.7575000000000001</v>
      </c>
      <c r="I92" s="154">
        <f>+(2.53+1.71+1.04+1.53)/4</f>
        <v>1.7025000000000001</v>
      </c>
      <c r="J92" s="154">
        <f>+(1.72+1.28+1.77+1.96)/4</f>
        <v>1.6824999999999999</v>
      </c>
      <c r="K92" s="154">
        <f>(2.39+2.37+3.1+2.77)/4</f>
        <v>2.6574999999999998</v>
      </c>
      <c r="L92" s="154">
        <f>+(1.46+1.87+2.3+2.59)/4</f>
        <v>2.0549999999999997</v>
      </c>
      <c r="M92" s="154">
        <v>2.33</v>
      </c>
      <c r="N92" s="154">
        <v>2.46</v>
      </c>
      <c r="O92" s="130">
        <f>+AVERAGE(E92:N92)</f>
        <v>1.8994999999999997</v>
      </c>
      <c r="P92" s="130">
        <f>+AVERAGE(L92:N92)</f>
        <v>2.2816666666666667</v>
      </c>
    </row>
    <row r="93" spans="2:16" x14ac:dyDescent="0.25">
      <c r="B93" s="103" t="s">
        <v>212</v>
      </c>
      <c r="C93" s="155">
        <v>-53.884</v>
      </c>
      <c r="D93" s="155">
        <v>-62.351999999999997</v>
      </c>
      <c r="E93" s="155">
        <v>-31.396000000000001</v>
      </c>
      <c r="F93" s="155">
        <v>34.262</v>
      </c>
      <c r="G93" s="155">
        <v>-35.774000000000001</v>
      </c>
      <c r="H93" s="155">
        <v>-53.381999999999998</v>
      </c>
      <c r="I93" s="155">
        <v>-23.524000000000001</v>
      </c>
      <c r="J93" s="155">
        <v>36.472000000000001</v>
      </c>
      <c r="K93" s="151">
        <v>-25.971</v>
      </c>
      <c r="L93" s="151">
        <v>82.725999999999999</v>
      </c>
      <c r="M93" s="151">
        <v>-13.444000000000001</v>
      </c>
      <c r="N93" s="151">
        <v>-30.076000000000001</v>
      </c>
      <c r="O93" s="128"/>
      <c r="P93" s="128"/>
    </row>
    <row r="94" spans="2:16" x14ac:dyDescent="0.25">
      <c r="B94" s="103" t="s">
        <v>93</v>
      </c>
      <c r="C94" s="133">
        <f t="shared" ref="C94:I94" si="31">IFERROR(C93/C84,0)</f>
        <v>-0.27261228991490355</v>
      </c>
      <c r="D94" s="133">
        <f t="shared" si="31"/>
        <v>-0.28110671794201314</v>
      </c>
      <c r="E94" s="133">
        <f t="shared" si="31"/>
        <v>-0.14153307968335829</v>
      </c>
      <c r="F94" s="133">
        <f t="shared" si="31"/>
        <v>0.15181538625145116</v>
      </c>
      <c r="G94" s="151">
        <f t="shared" si="31"/>
        <v>-0.15699577822053312</v>
      </c>
      <c r="H94" s="151">
        <f t="shared" si="31"/>
        <v>-0.21885582623383651</v>
      </c>
      <c r="I94" s="151">
        <f t="shared" si="31"/>
        <v>-9.3897313285088754E-2</v>
      </c>
      <c r="J94" s="151">
        <f t="shared" ref="J94:L94" si="32">IFERROR(J93/J84,0)</f>
        <v>0.12860684149467722</v>
      </c>
      <c r="K94" s="151">
        <f t="shared" si="32"/>
        <v>-9.0732821867270372E-2</v>
      </c>
      <c r="L94" s="151">
        <f t="shared" si="32"/>
        <v>0.28668561131133907</v>
      </c>
      <c r="M94" s="151">
        <f t="shared" ref="M94:N94" si="33">IFERROR(M93/M84,0)</f>
        <v>-4.5525658130887964E-2</v>
      </c>
      <c r="N94" s="151">
        <f t="shared" si="33"/>
        <v>-9.2971783267799299E-2</v>
      </c>
      <c r="O94" s="128"/>
      <c r="P94" s="128"/>
    </row>
    <row r="95" spans="2:16" x14ac:dyDescent="0.25">
      <c r="B95" s="103" t="s">
        <v>94</v>
      </c>
      <c r="C95" s="127">
        <f>IFERROR(C85/C93,0)</f>
        <v>-2.7878420310296192</v>
      </c>
      <c r="D95" s="127">
        <f t="shared" ref="D95:M95" si="34">IFERROR(D85/D93,0)</f>
        <v>-10.672103541185528</v>
      </c>
      <c r="E95" s="127">
        <f t="shared" si="34"/>
        <v>-5.8643534208179382</v>
      </c>
      <c r="F95" s="127">
        <f t="shared" si="34"/>
        <v>12.712808942852137</v>
      </c>
      <c r="G95" s="127">
        <f t="shared" si="34"/>
        <v>-2.5478392128361382</v>
      </c>
      <c r="H95" s="127">
        <f t="shared" si="34"/>
        <v>-1.8733794162826418</v>
      </c>
      <c r="I95" s="127">
        <f t="shared" si="34"/>
        <v>-11.288927903417786</v>
      </c>
      <c r="J95" s="127">
        <f t="shared" si="34"/>
        <v>13.685119543759598</v>
      </c>
      <c r="K95" s="127">
        <f t="shared" si="34"/>
        <v>-15.429917985445304</v>
      </c>
      <c r="L95" s="127">
        <f t="shared" si="34"/>
        <v>4.3950583855136234</v>
      </c>
      <c r="M95" s="127">
        <f t="shared" si="34"/>
        <v>-60.844809580481993</v>
      </c>
      <c r="N95" s="127">
        <f t="shared" ref="N95" si="35">IFERROR(N85/N93,0)</f>
        <v>-82.498148689985371</v>
      </c>
      <c r="O95" s="129">
        <f>+AVERAGE(E95:N95)</f>
        <v>-14.955438933714181</v>
      </c>
      <c r="P95" s="129">
        <f>+AVERAGE(L95:N95)</f>
        <v>-46.315966628317916</v>
      </c>
    </row>
    <row r="96" spans="2:16" x14ac:dyDescent="0.25">
      <c r="B96" s="103"/>
      <c r="C96" s="16"/>
      <c r="D96" s="16"/>
      <c r="E96" s="16"/>
      <c r="F96" s="16"/>
      <c r="G96" s="90"/>
      <c r="H96" s="90"/>
      <c r="I96" s="90"/>
      <c r="J96" s="90"/>
      <c r="K96" s="90"/>
      <c r="L96" s="90"/>
      <c r="M96" s="90"/>
      <c r="N96" s="90"/>
      <c r="O96" s="90"/>
      <c r="P96" s="90"/>
    </row>
    <row r="97" spans="2:16" s="3" customFormat="1" x14ac:dyDescent="0.25">
      <c r="B97" s="99"/>
    </row>
    <row r="99" spans="2:16" ht="30" x14ac:dyDescent="0.4">
      <c r="B99" s="100" t="s">
        <v>265</v>
      </c>
    </row>
    <row r="100" spans="2:16" x14ac:dyDescent="0.25">
      <c r="B100" s="103" t="s">
        <v>250</v>
      </c>
      <c r="C100" s="176" t="s">
        <v>264</v>
      </c>
    </row>
    <row r="101" spans="2:16" x14ac:dyDescent="0.25">
      <c r="C101" s="5">
        <v>2014</v>
      </c>
      <c r="D101" s="5">
        <v>2015</v>
      </c>
      <c r="E101" s="5">
        <v>2016</v>
      </c>
      <c r="F101" s="5">
        <v>2017</v>
      </c>
      <c r="G101" s="5">
        <v>2018</v>
      </c>
      <c r="H101" s="5">
        <v>2019</v>
      </c>
      <c r="I101" s="5">
        <v>2020</v>
      </c>
      <c r="J101" s="5">
        <v>2021</v>
      </c>
      <c r="K101" s="5">
        <v>2022</v>
      </c>
      <c r="L101" s="5">
        <v>2023</v>
      </c>
      <c r="M101" s="5">
        <v>2024</v>
      </c>
      <c r="N101" s="5">
        <v>2025</v>
      </c>
      <c r="O101" s="5" t="s">
        <v>216</v>
      </c>
      <c r="P101" s="5" t="s">
        <v>217</v>
      </c>
    </row>
    <row r="102" spans="2:16" x14ac:dyDescent="0.25">
      <c r="B102" s="103" t="s">
        <v>86</v>
      </c>
      <c r="C102" s="124">
        <v>27.89</v>
      </c>
      <c r="D102" s="124">
        <v>25.84</v>
      </c>
      <c r="E102" s="124">
        <v>31.59</v>
      </c>
      <c r="F102" s="124">
        <v>46.93</v>
      </c>
      <c r="G102" s="124">
        <v>30.43</v>
      </c>
      <c r="H102" s="124">
        <v>42.02</v>
      </c>
      <c r="I102" s="124">
        <v>64.41</v>
      </c>
      <c r="J102" s="124">
        <v>61.04</v>
      </c>
      <c r="K102" s="124">
        <v>59.73</v>
      </c>
      <c r="L102" s="124">
        <v>85.13</v>
      </c>
      <c r="M102" s="124">
        <v>99.31</v>
      </c>
      <c r="N102" s="124">
        <v>145.51</v>
      </c>
      <c r="O102" s="128"/>
      <c r="P102" s="128"/>
    </row>
    <row r="103" spans="2:16" x14ac:dyDescent="0.25">
      <c r="B103" s="103" t="s">
        <v>60</v>
      </c>
      <c r="C103" s="106">
        <v>828.2</v>
      </c>
      <c r="D103" s="106">
        <v>794.7</v>
      </c>
      <c r="E103" s="106">
        <v>773.6</v>
      </c>
      <c r="F103" s="106">
        <v>773</v>
      </c>
      <c r="G103" s="106">
        <v>773</v>
      </c>
      <c r="H103" s="106">
        <v>773</v>
      </c>
      <c r="I103" s="106">
        <v>773.1</v>
      </c>
      <c r="J103" s="106">
        <v>773.1</v>
      </c>
      <c r="K103" s="106">
        <v>773.1</v>
      </c>
      <c r="L103" s="106">
        <v>773.1</v>
      </c>
      <c r="M103" s="106">
        <v>780.4</v>
      </c>
      <c r="N103" s="106">
        <v>826.6</v>
      </c>
      <c r="O103" s="128"/>
      <c r="P103" s="128"/>
    </row>
    <row r="104" spans="2:16" x14ac:dyDescent="0.25">
      <c r="B104" s="103" t="s">
        <v>35</v>
      </c>
      <c r="C104" s="131">
        <f>+C102*C103</f>
        <v>23098.498000000003</v>
      </c>
      <c r="D104" s="131">
        <f>+D102*D103</f>
        <v>20535.048000000003</v>
      </c>
      <c r="E104" s="131">
        <f t="shared" ref="E104" si="36">+E102*E103</f>
        <v>24438.024000000001</v>
      </c>
      <c r="F104" s="131">
        <f t="shared" ref="F104" si="37">+F102*F103</f>
        <v>36276.89</v>
      </c>
      <c r="G104" s="131">
        <f t="shared" ref="G104" si="38">+G102*G103</f>
        <v>23522.39</v>
      </c>
      <c r="H104" s="131">
        <f t="shared" ref="H104" si="39">+H102*H103</f>
        <v>32481.460000000003</v>
      </c>
      <c r="I104" s="131">
        <f t="shared" ref="I104" si="40">+I102*I103</f>
        <v>49795.370999999999</v>
      </c>
      <c r="J104" s="131">
        <f t="shared" ref="J104" si="41">+J102*J103</f>
        <v>47190.023999999998</v>
      </c>
      <c r="K104" s="131">
        <f t="shared" ref="K104" si="42">+K102*K103</f>
        <v>46177.262999999999</v>
      </c>
      <c r="L104" s="131">
        <f t="shared" ref="L104:N104" si="43">+L102*L103</f>
        <v>65814.002999999997</v>
      </c>
      <c r="M104" s="131">
        <f t="shared" si="43"/>
        <v>77501.524000000005</v>
      </c>
      <c r="N104" s="131">
        <f t="shared" si="43"/>
        <v>120278.56599999999</v>
      </c>
      <c r="O104" s="128"/>
      <c r="P104" s="128"/>
    </row>
    <row r="105" spans="2:16" x14ac:dyDescent="0.25">
      <c r="B105" s="103" t="s">
        <v>63</v>
      </c>
      <c r="C105" s="124">
        <v>5787.7</v>
      </c>
      <c r="D105" s="124">
        <v>5045.8999999999996</v>
      </c>
      <c r="E105" s="124">
        <v>5379.8</v>
      </c>
      <c r="F105" s="124">
        <v>6654.5</v>
      </c>
      <c r="G105" s="124">
        <v>7096.7</v>
      </c>
      <c r="H105" s="124">
        <v>7285.6</v>
      </c>
      <c r="I105" s="124">
        <v>7984.9</v>
      </c>
      <c r="J105" s="124">
        <v>10934.1</v>
      </c>
      <c r="K105" s="124">
        <v>10047.9</v>
      </c>
      <c r="L105" s="124">
        <v>9895.7999999999993</v>
      </c>
      <c r="M105" s="124">
        <v>11433.4</v>
      </c>
      <c r="N105" s="124">
        <v>13420</v>
      </c>
      <c r="O105" s="128"/>
      <c r="P105" s="128"/>
    </row>
    <row r="106" spans="2:16" x14ac:dyDescent="0.25">
      <c r="B106" s="103" t="s">
        <v>0</v>
      </c>
      <c r="C106" s="124">
        <f>+C108+445</f>
        <v>2677.7</v>
      </c>
      <c r="D106" s="124">
        <f>510.7+D108</f>
        <v>1925.1000000000001</v>
      </c>
      <c r="E106" s="124">
        <f>+E108+647.1</f>
        <v>2211.3000000000002</v>
      </c>
      <c r="F106" s="124">
        <f>+F108+671.1</f>
        <v>3290</v>
      </c>
      <c r="G106" s="124">
        <f>674.3+G108</f>
        <v>3555.5</v>
      </c>
      <c r="H106" s="124">
        <f>764.4+H108</f>
        <v>3517.4</v>
      </c>
      <c r="I106" s="124">
        <f>+I108+775.6</f>
        <v>3896.2999999999997</v>
      </c>
      <c r="J106" s="124">
        <f>+J108+806</f>
        <v>6871.1</v>
      </c>
      <c r="K106" s="124">
        <f>+K108+796.3</f>
        <v>5232.1000000000004</v>
      </c>
      <c r="L106" s="124">
        <f>+L108+833.6</f>
        <v>5025.9000000000005</v>
      </c>
      <c r="M106" s="124">
        <f>+M108+845.9</f>
        <v>6400.5999999999995</v>
      </c>
      <c r="N106" s="124">
        <f>+N108+868.4</f>
        <v>7870.0999999999995</v>
      </c>
      <c r="O106" s="128"/>
      <c r="P106" s="128"/>
    </row>
    <row r="107" spans="2:16" x14ac:dyDescent="0.25">
      <c r="B107" s="103" t="s">
        <v>80</v>
      </c>
      <c r="C107" s="107">
        <f>+IFERROR(C106/C105,0)</f>
        <v>0.46265355840834871</v>
      </c>
      <c r="D107" s="107">
        <f>+IFERROR(D106/D105,0)</f>
        <v>0.38151766780950874</v>
      </c>
      <c r="E107" s="107">
        <f t="shared" ref="E107" si="44">+IFERROR(E106/E105,0)</f>
        <v>0.41103758504033611</v>
      </c>
      <c r="F107" s="107">
        <f t="shared" ref="F107" si="45">+IFERROR(F106/F105,0)</f>
        <v>0.49440228416860771</v>
      </c>
      <c r="G107" s="107">
        <f t="shared" ref="G107" si="46">+IFERROR(G106/G105,0)</f>
        <v>0.50100751053306469</v>
      </c>
      <c r="H107" s="107">
        <f t="shared" ref="H107" si="47">+IFERROR(H106/H105,0)</f>
        <v>0.48278796530141649</v>
      </c>
      <c r="I107" s="107">
        <f t="shared" ref="I107" si="48">+IFERROR(I106/I105,0)</f>
        <v>0.48795852170972709</v>
      </c>
      <c r="J107" s="107">
        <f t="shared" ref="J107" si="49">+IFERROR(J106/J105,0)</f>
        <v>0.62841020294308636</v>
      </c>
      <c r="K107" s="107">
        <f t="shared" ref="K107" si="50">+IFERROR(K106/K105,0)</f>
        <v>0.52071577145473191</v>
      </c>
      <c r="L107" s="107">
        <f t="shared" ref="L107:N107" si="51">+IFERROR(L106/L105,0)</f>
        <v>0.50788213181349673</v>
      </c>
      <c r="M107" s="107">
        <f t="shared" si="51"/>
        <v>0.55981597774940084</v>
      </c>
      <c r="N107" s="107">
        <f t="shared" si="51"/>
        <v>0.58644560357675113</v>
      </c>
      <c r="O107" s="128"/>
      <c r="P107" s="128"/>
    </row>
    <row r="108" spans="2:16" x14ac:dyDescent="0.25">
      <c r="B108" s="103" t="s">
        <v>1</v>
      </c>
      <c r="C108" s="124">
        <v>2232.6999999999998</v>
      </c>
      <c r="D108" s="124">
        <v>1414.4</v>
      </c>
      <c r="E108" s="124">
        <v>1564.2</v>
      </c>
      <c r="F108" s="124">
        <v>2618.9</v>
      </c>
      <c r="G108" s="124">
        <v>2881.2</v>
      </c>
      <c r="H108" s="124">
        <v>2753</v>
      </c>
      <c r="I108" s="124">
        <v>3120.7</v>
      </c>
      <c r="J108" s="124">
        <v>6065.1</v>
      </c>
      <c r="K108" s="124">
        <v>4435.8</v>
      </c>
      <c r="L108" s="124">
        <v>4192.3</v>
      </c>
      <c r="M108" s="124">
        <v>5554.7</v>
      </c>
      <c r="N108" s="124">
        <v>7001.7</v>
      </c>
      <c r="O108" s="128"/>
      <c r="P108" s="128"/>
    </row>
    <row r="109" spans="2:16" x14ac:dyDescent="0.25">
      <c r="B109" s="103" t="s">
        <v>87</v>
      </c>
      <c r="C109" s="107">
        <f>IFERROR(C108/C105,0)</f>
        <v>0.38576636660504171</v>
      </c>
      <c r="D109" s="107">
        <f>IFERROR(D108/D105,0)</f>
        <v>0.28030678372540085</v>
      </c>
      <c r="E109" s="107">
        <f t="shared" ref="E109" si="52">IFERROR(E108/E105,0)</f>
        <v>0.29075430313394551</v>
      </c>
      <c r="F109" s="107">
        <f t="shared" ref="F109" si="53">IFERROR(F108/F105,0)</f>
        <v>0.39355323465324216</v>
      </c>
      <c r="G109" s="107">
        <f t="shared" ref="G109" si="54">IFERROR(G108/G105,0)</f>
        <v>0.40599151718404325</v>
      </c>
      <c r="H109" s="107">
        <f t="shared" ref="H109" si="55">IFERROR(H108/H105,0)</f>
        <v>0.37786867244976391</v>
      </c>
      <c r="I109" s="107">
        <f t="shared" ref="I109" si="56">IFERROR(I108/I105,0)</f>
        <v>0.39082518253202919</v>
      </c>
      <c r="J109" s="107">
        <f t="shared" ref="J109" si="57">IFERROR(J108/J105,0)</f>
        <v>0.55469585974154256</v>
      </c>
      <c r="K109" s="107">
        <f t="shared" ref="K109" si="58">IFERROR(K108/K105,0)</f>
        <v>0.44146538082584424</v>
      </c>
      <c r="L109" s="107">
        <f t="shared" ref="L109:N109" si="59">IFERROR(L108/L105,0)</f>
        <v>0.42364437438105057</v>
      </c>
      <c r="M109" s="107">
        <f t="shared" si="59"/>
        <v>0.48583098640824252</v>
      </c>
      <c r="N109" s="107">
        <f t="shared" si="59"/>
        <v>0.52173621460506703</v>
      </c>
      <c r="O109" s="128"/>
      <c r="P109" s="128"/>
    </row>
    <row r="110" spans="2:16" x14ac:dyDescent="0.25">
      <c r="B110" s="138" t="s">
        <v>105</v>
      </c>
      <c r="C110" s="131">
        <v>1.89</v>
      </c>
      <c r="D110" s="131">
        <v>1.66</v>
      </c>
      <c r="E110" s="131">
        <v>1.44</v>
      </c>
      <c r="F110" s="131">
        <v>1.49</v>
      </c>
      <c r="G110" s="131">
        <v>1.54</v>
      </c>
      <c r="H110" s="131">
        <v>1.52</v>
      </c>
      <c r="I110" s="131">
        <v>1.37</v>
      </c>
      <c r="J110" s="131">
        <v>1.64</v>
      </c>
      <c r="K110" s="131">
        <v>2.02</v>
      </c>
      <c r="L110" s="131">
        <v>2.19</v>
      </c>
      <c r="M110" s="131">
        <v>2.13</v>
      </c>
      <c r="N110" s="131">
        <v>2.19</v>
      </c>
      <c r="O110" s="130">
        <f>+AVERAGE(E110:N110)</f>
        <v>1.7530000000000001</v>
      </c>
      <c r="P110" s="130">
        <f>+AVERAGE(L110:N110)</f>
        <v>2.17</v>
      </c>
    </row>
    <row r="111" spans="2:16" x14ac:dyDescent="0.25">
      <c r="B111" s="138" t="s">
        <v>214</v>
      </c>
      <c r="C111" s="131">
        <v>1.07</v>
      </c>
      <c r="D111" s="131">
        <v>1.1200000000000001</v>
      </c>
      <c r="E111" s="131">
        <v>0.95</v>
      </c>
      <c r="F111" s="131">
        <v>0.92</v>
      </c>
      <c r="G111" s="131">
        <v>0.87</v>
      </c>
      <c r="H111" s="131">
        <v>0.88</v>
      </c>
      <c r="I111" s="131">
        <v>0.69</v>
      </c>
      <c r="J111" s="131">
        <v>0.67</v>
      </c>
      <c r="K111" s="131">
        <v>0.78</v>
      </c>
      <c r="L111" s="131">
        <v>1.03</v>
      </c>
      <c r="M111" s="131">
        <v>0.89</v>
      </c>
      <c r="N111" s="131">
        <v>1.03</v>
      </c>
      <c r="O111" s="130">
        <f>+AVERAGE(E111:N111)</f>
        <v>0.87100000000000011</v>
      </c>
      <c r="P111" s="130">
        <f>+AVERAGE(L111:N111)</f>
        <v>0.98333333333333339</v>
      </c>
    </row>
    <row r="112" spans="2:16" x14ac:dyDescent="0.25">
      <c r="B112" s="103" t="s">
        <v>212</v>
      </c>
      <c r="C112" s="144">
        <v>1333</v>
      </c>
      <c r="D112" s="144">
        <v>741.1</v>
      </c>
      <c r="E112" s="144">
        <v>778.8</v>
      </c>
      <c r="F112" s="144">
        <v>732.4</v>
      </c>
      <c r="G112" s="144">
        <v>1543</v>
      </c>
      <c r="H112" s="144">
        <v>1485.8</v>
      </c>
      <c r="I112" s="144">
        <v>1570.4</v>
      </c>
      <c r="J112" s="144">
        <v>3397.1</v>
      </c>
      <c r="K112" s="144">
        <v>2638.5</v>
      </c>
      <c r="L112" s="144">
        <v>2425.1999999999998</v>
      </c>
      <c r="M112" s="144">
        <v>3376.8</v>
      </c>
      <c r="N112" s="144">
        <v>4334.8999999999996</v>
      </c>
      <c r="O112" s="128"/>
      <c r="P112" s="128"/>
    </row>
    <row r="113" spans="2:18" x14ac:dyDescent="0.25">
      <c r="B113" s="103" t="s">
        <v>93</v>
      </c>
      <c r="C113" s="124">
        <f>IFERROR(C112/C103,0)</f>
        <v>1.609514609997585</v>
      </c>
      <c r="D113" s="124">
        <f>IFERROR(D112/D103,0)</f>
        <v>0.93255316471624505</v>
      </c>
      <c r="E113" s="124">
        <f>IFERROR(E112/E103,0)</f>
        <v>1.0067218200620476</v>
      </c>
      <c r="F113" s="124">
        <f>IFERROR(F112/F103,0)</f>
        <v>0.94747736093143597</v>
      </c>
      <c r="G113" s="124">
        <f t="shared" ref="G113:H113" si="60">IFERROR(G112/G103,0)</f>
        <v>1.9961190168175937</v>
      </c>
      <c r="H113" s="124">
        <f t="shared" si="60"/>
        <v>1.9221216041397153</v>
      </c>
      <c r="I113" s="124">
        <f t="shared" ref="I113:K113" si="61">IFERROR(I112/I103,0)</f>
        <v>2.0313025481826412</v>
      </c>
      <c r="J113" s="124">
        <f t="shared" si="61"/>
        <v>4.3941275384814382</v>
      </c>
      <c r="K113" s="124">
        <f t="shared" si="61"/>
        <v>3.4128831975164919</v>
      </c>
      <c r="L113" s="124">
        <f>IFERROR(L112/L103,0)</f>
        <v>3.1369809856422193</v>
      </c>
      <c r="M113" s="124">
        <f>IFERROR(M112/M103,0)</f>
        <v>4.3270117888262432</v>
      </c>
      <c r="N113" s="124">
        <f>IFERROR(N112/N103,0)</f>
        <v>5.2442535688361955</v>
      </c>
      <c r="O113" s="128"/>
      <c r="P113" s="128"/>
    </row>
    <row r="114" spans="2:18" x14ac:dyDescent="0.25">
      <c r="B114" s="103" t="s">
        <v>94</v>
      </c>
      <c r="C114" s="127">
        <f>IFERROR(C104/C112,0)</f>
        <v>17.32820555138785</v>
      </c>
      <c r="D114" s="127">
        <f>IFERROR(D104/D112,0)</f>
        <v>27.708875995142357</v>
      </c>
      <c r="E114" s="127">
        <f>IFERROR(E104/E112,0)</f>
        <v>31.379075500770419</v>
      </c>
      <c r="F114" s="127">
        <f>IFERROR(F104/F112,0)</f>
        <v>49.531526488257782</v>
      </c>
      <c r="G114" s="127">
        <f t="shared" ref="G114:H114" si="62">IFERROR(G104/G112,0)</f>
        <v>15.244581983149708</v>
      </c>
      <c r="H114" s="127">
        <f t="shared" si="62"/>
        <v>21.861259927311888</v>
      </c>
      <c r="I114" s="127">
        <f t="shared" ref="I114:L114" si="63">IFERROR(I104/I112,0)</f>
        <v>31.708718160978094</v>
      </c>
      <c r="J114" s="127">
        <f t="shared" si="63"/>
        <v>13.891267257366577</v>
      </c>
      <c r="K114" s="127">
        <f t="shared" si="63"/>
        <v>17.501331438317226</v>
      </c>
      <c r="L114" s="127">
        <f t="shared" si="63"/>
        <v>27.137556902523503</v>
      </c>
      <c r="M114" s="127">
        <f t="shared" ref="M114:N114" si="64">IFERROR(M104/M112,0)</f>
        <v>22.951173892442551</v>
      </c>
      <c r="N114" s="127">
        <f t="shared" si="64"/>
        <v>27.746560704975895</v>
      </c>
      <c r="O114" s="129">
        <f>+AVERAGE(E114:N114)</f>
        <v>25.895305225609366</v>
      </c>
      <c r="P114" s="129">
        <f>+AVERAGE(L114:N114)</f>
        <v>25.945097166647315</v>
      </c>
    </row>
    <row r="115" spans="2:18" x14ac:dyDescent="0.25">
      <c r="B115" s="103"/>
      <c r="C115" s="16"/>
      <c r="D115" s="16"/>
      <c r="E115" s="16"/>
      <c r="F115" s="16"/>
      <c r="G115" s="16"/>
      <c r="H115" s="90"/>
      <c r="I115" s="90"/>
      <c r="J115" s="90"/>
      <c r="K115" s="90"/>
      <c r="L115" s="90"/>
      <c r="M115" s="90"/>
      <c r="N115" s="90"/>
      <c r="O115" s="90"/>
      <c r="P115" s="90"/>
    </row>
    <row r="116" spans="2:18" s="3" customFormat="1" ht="14.25" customHeight="1" x14ac:dyDescent="0.25">
      <c r="B116" s="99"/>
    </row>
    <row r="118" spans="2:18" ht="30" x14ac:dyDescent="0.4">
      <c r="B118" s="100" t="s">
        <v>267</v>
      </c>
    </row>
    <row r="119" spans="2:18" x14ac:dyDescent="0.25">
      <c r="B119" s="103" t="s">
        <v>250</v>
      </c>
      <c r="C119" s="176" t="s">
        <v>266</v>
      </c>
    </row>
    <row r="120" spans="2:18" x14ac:dyDescent="0.25">
      <c r="C120" s="5">
        <v>2014</v>
      </c>
      <c r="D120" s="5">
        <v>2015</v>
      </c>
      <c r="E120" s="5">
        <v>2016</v>
      </c>
      <c r="F120" s="5">
        <v>2017</v>
      </c>
      <c r="G120" s="5">
        <v>2018</v>
      </c>
      <c r="H120" s="5">
        <v>2019</v>
      </c>
      <c r="I120" s="5">
        <v>2020</v>
      </c>
      <c r="J120" s="5">
        <v>2021</v>
      </c>
      <c r="K120" s="5">
        <v>2022</v>
      </c>
      <c r="L120" s="5">
        <v>2023</v>
      </c>
      <c r="M120" s="5">
        <v>2024</v>
      </c>
      <c r="N120" s="5">
        <v>2025</v>
      </c>
      <c r="O120" s="5" t="s">
        <v>216</v>
      </c>
      <c r="P120" s="5" t="s">
        <v>217</v>
      </c>
      <c r="R120" s="105"/>
    </row>
    <row r="121" spans="2:18" x14ac:dyDescent="0.25">
      <c r="B121" s="103" t="s">
        <v>86</v>
      </c>
      <c r="C121" s="133">
        <v>2.0299999999999998</v>
      </c>
      <c r="D121" s="133">
        <v>0.44</v>
      </c>
      <c r="E121" s="133">
        <v>1.26</v>
      </c>
      <c r="F121" s="133">
        <v>1.44</v>
      </c>
      <c r="G121" s="133">
        <v>0.61</v>
      </c>
      <c r="H121" s="133">
        <v>0.76</v>
      </c>
      <c r="I121" s="133">
        <v>2.38</v>
      </c>
      <c r="J121" s="133">
        <v>5.58</v>
      </c>
      <c r="K121" s="133">
        <v>4.9400000000000004</v>
      </c>
      <c r="L121" s="133">
        <v>6.45</v>
      </c>
      <c r="M121" s="133">
        <v>9.6199999999999992</v>
      </c>
      <c r="N121" s="133">
        <v>13.57</v>
      </c>
      <c r="O121" s="128"/>
      <c r="P121" s="128"/>
    </row>
    <row r="122" spans="2:18" x14ac:dyDescent="0.25">
      <c r="B122" s="103" t="s">
        <v>221</v>
      </c>
      <c r="C122" s="162">
        <v>1.1588000000000001</v>
      </c>
      <c r="D122" s="162">
        <v>1.387</v>
      </c>
      <c r="E122" s="162">
        <v>1.3443000000000001</v>
      </c>
      <c r="F122" s="162">
        <v>1.2569999999999999</v>
      </c>
      <c r="G122" s="162">
        <v>1.3608</v>
      </c>
      <c r="H122" s="162">
        <v>1.3069</v>
      </c>
      <c r="I122" s="162">
        <v>1.2750999999999999</v>
      </c>
      <c r="J122" s="162">
        <v>1.2747999999999999</v>
      </c>
      <c r="K122" s="162">
        <v>1.3564000000000001</v>
      </c>
      <c r="L122" s="162">
        <v>1.3274999999999999</v>
      </c>
      <c r="M122" s="162">
        <v>1.4350000000000001</v>
      </c>
      <c r="N122" s="162">
        <v>1.3694999999999999</v>
      </c>
      <c r="O122" s="128"/>
      <c r="P122" s="128"/>
    </row>
    <row r="123" spans="2:18" x14ac:dyDescent="0.25">
      <c r="B123" s="103" t="s">
        <v>60</v>
      </c>
      <c r="C123" s="106"/>
      <c r="D123" s="106"/>
      <c r="E123" s="106"/>
      <c r="F123" s="106"/>
      <c r="G123" s="106"/>
      <c r="H123" s="106"/>
      <c r="I123" s="106">
        <v>393.85718300000002</v>
      </c>
      <c r="J123" s="106">
        <v>405.80020999999999</v>
      </c>
      <c r="K123" s="106">
        <v>625.43467599999997</v>
      </c>
      <c r="L123" s="106">
        <v>693.52051500000005</v>
      </c>
      <c r="M123" s="106">
        <v>750.63321099999996</v>
      </c>
      <c r="N123" s="106">
        <v>762.42215599999997</v>
      </c>
      <c r="O123" s="128"/>
      <c r="P123" s="128"/>
    </row>
    <row r="124" spans="2:18" x14ac:dyDescent="0.25">
      <c r="B124" s="103" t="s">
        <v>35</v>
      </c>
      <c r="C124" s="131">
        <f t="shared" ref="C124" si="65">+C121*C123/C122</f>
        <v>0</v>
      </c>
      <c r="D124" s="131">
        <f t="shared" ref="D124" si="66">+D121*D123/D122</f>
        <v>0</v>
      </c>
      <c r="E124" s="131">
        <f t="shared" ref="E124:K124" si="67">+E121*E123/E122</f>
        <v>0</v>
      </c>
      <c r="F124" s="131">
        <f t="shared" si="67"/>
        <v>0</v>
      </c>
      <c r="G124" s="131">
        <f t="shared" si="67"/>
        <v>0</v>
      </c>
      <c r="H124" s="131">
        <f t="shared" si="67"/>
        <v>0</v>
      </c>
      <c r="I124" s="131">
        <f t="shared" si="67"/>
        <v>735.14241670457227</v>
      </c>
      <c r="J124" s="131">
        <f t="shared" si="67"/>
        <v>1776.2513114213996</v>
      </c>
      <c r="K124" s="131">
        <f t="shared" si="67"/>
        <v>2277.8290323208494</v>
      </c>
      <c r="L124" s="131">
        <f>+L121*L123/L122</f>
        <v>3369.6477000000004</v>
      </c>
      <c r="M124" s="131">
        <f>+M121*M123/M122</f>
        <v>5032.1195051010445</v>
      </c>
      <c r="N124" s="131">
        <f>+N121*N123/N122</f>
        <v>7554.6320970573206</v>
      </c>
      <c r="O124" s="128"/>
      <c r="P124" s="128"/>
    </row>
    <row r="125" spans="2:18" x14ac:dyDescent="0.25">
      <c r="B125" s="103" t="s">
        <v>63</v>
      </c>
      <c r="C125" s="124"/>
      <c r="D125" s="124"/>
      <c r="E125" s="124"/>
      <c r="F125" s="124"/>
      <c r="G125" s="124"/>
      <c r="H125" s="124"/>
      <c r="I125" s="124">
        <v>453.76299999999998</v>
      </c>
      <c r="J125" s="124">
        <v>794.76900000000001</v>
      </c>
      <c r="K125" s="124">
        <v>1296.0239999999999</v>
      </c>
      <c r="L125" s="124">
        <v>1345.511</v>
      </c>
      <c r="M125" s="124">
        <v>1599.22</v>
      </c>
      <c r="N125" s="124">
        <v>2359.89</v>
      </c>
      <c r="O125" s="128"/>
      <c r="P125" s="128"/>
    </row>
    <row r="126" spans="2:18" x14ac:dyDescent="0.25">
      <c r="B126" s="103" t="s">
        <v>0</v>
      </c>
      <c r="C126" s="124"/>
      <c r="D126" s="124"/>
      <c r="E126" s="124"/>
      <c r="F126" s="124"/>
      <c r="G126" s="124"/>
      <c r="H126" s="124"/>
      <c r="I126" s="124">
        <f>+I128+83.069</f>
        <v>120.38</v>
      </c>
      <c r="J126" s="124">
        <f>+J128+93.245</f>
        <v>448.495</v>
      </c>
      <c r="K126" s="124">
        <f>+K128+176.173</f>
        <v>316.39099999999996</v>
      </c>
      <c r="L126" s="124">
        <f>+L128+236.884</f>
        <v>269.81399999999996</v>
      </c>
      <c r="M126" s="124">
        <f>+M128+316.154</f>
        <v>479.02800000000002</v>
      </c>
      <c r="N126" s="124">
        <f>+N128+481.677</f>
        <v>1187.347</v>
      </c>
      <c r="O126" s="128"/>
      <c r="P126" s="128"/>
    </row>
    <row r="127" spans="2:18" x14ac:dyDescent="0.25">
      <c r="B127" s="103" t="s">
        <v>80</v>
      </c>
      <c r="C127" s="107">
        <f t="shared" ref="C127:D127" si="68">+IFERROR(C126/C125,0)</f>
        <v>0</v>
      </c>
      <c r="D127" s="107">
        <f t="shared" si="68"/>
        <v>0</v>
      </c>
      <c r="E127" s="107">
        <f>+IFERROR(E126/E125,0)</f>
        <v>0</v>
      </c>
      <c r="F127" s="107">
        <f t="shared" ref="F127" si="69">+IFERROR(F126/F125,0)</f>
        <v>0</v>
      </c>
      <c r="G127" s="107">
        <f t="shared" ref="G127" si="70">+IFERROR(G126/G125,0)</f>
        <v>0</v>
      </c>
      <c r="H127" s="107">
        <f t="shared" ref="H127" si="71">+IFERROR(H126/H125,0)</f>
        <v>0</v>
      </c>
      <c r="I127" s="107">
        <f t="shared" ref="I127" si="72">+IFERROR(I126/I125,0)</f>
        <v>0.26529267481041868</v>
      </c>
      <c r="J127" s="107">
        <f t="shared" ref="J127" si="73">+IFERROR(J126/J125,0)</f>
        <v>0.56430862300869811</v>
      </c>
      <c r="K127" s="107">
        <f t="shared" ref="K127" si="74">+IFERROR(K126/K125,0)</f>
        <v>0.24412433720363202</v>
      </c>
      <c r="L127" s="107">
        <f t="shared" ref="L127:N127" si="75">+IFERROR(L126/L125,0)</f>
        <v>0.20052901834321679</v>
      </c>
      <c r="M127" s="107">
        <f t="shared" si="75"/>
        <v>0.29953852503095257</v>
      </c>
      <c r="N127" s="107">
        <f t="shared" si="75"/>
        <v>0.503136586874812</v>
      </c>
      <c r="O127" s="128"/>
      <c r="P127" s="128"/>
    </row>
    <row r="128" spans="2:18" x14ac:dyDescent="0.25">
      <c r="B128" s="103" t="s">
        <v>1</v>
      </c>
      <c r="C128" s="124"/>
      <c r="D128" s="124"/>
      <c r="E128" s="124"/>
      <c r="F128" s="124"/>
      <c r="G128" s="124"/>
      <c r="H128" s="124"/>
      <c r="I128" s="124">
        <v>37.311</v>
      </c>
      <c r="J128" s="124">
        <v>355.25</v>
      </c>
      <c r="K128" s="124">
        <v>140.21799999999999</v>
      </c>
      <c r="L128" s="124">
        <v>32.93</v>
      </c>
      <c r="M128" s="124">
        <v>162.874</v>
      </c>
      <c r="N128" s="124">
        <v>705.67</v>
      </c>
      <c r="O128" s="128"/>
      <c r="P128" s="128"/>
    </row>
    <row r="129" spans="2:16" x14ac:dyDescent="0.25">
      <c r="B129" s="103" t="s">
        <v>87</v>
      </c>
      <c r="C129" s="107">
        <f t="shared" ref="C129:D129" si="76">IFERROR(C128/C125,0)</f>
        <v>0</v>
      </c>
      <c r="D129" s="107">
        <f t="shared" si="76"/>
        <v>0</v>
      </c>
      <c r="E129" s="107">
        <f>IFERROR(E128/E125,0)</f>
        <v>0</v>
      </c>
      <c r="F129" s="107">
        <f t="shared" ref="F129" si="77">IFERROR(F128/F125,0)</f>
        <v>0</v>
      </c>
      <c r="G129" s="107">
        <f t="shared" ref="G129" si="78">IFERROR(G128/G125,0)</f>
        <v>0</v>
      </c>
      <c r="H129" s="107">
        <f t="shared" ref="H129" si="79">IFERROR(H128/H125,0)</f>
        <v>0</v>
      </c>
      <c r="I129" s="107">
        <f t="shared" ref="I129" si="80">IFERROR(I128/I125,0)</f>
        <v>8.2225743394679612E-2</v>
      </c>
      <c r="J129" s="107">
        <f t="shared" ref="J129" si="81">IFERROR(J128/J125,0)</f>
        <v>0.4469852246375991</v>
      </c>
      <c r="K129" s="107">
        <f t="shared" ref="K129" si="82">IFERROR(K128/K125,0)</f>
        <v>0.10819089769942532</v>
      </c>
      <c r="L129" s="107">
        <f t="shared" ref="L129:N129" si="83">IFERROR(L128/L125,0)</f>
        <v>2.4473973085318516E-2</v>
      </c>
      <c r="M129" s="107">
        <f t="shared" si="83"/>
        <v>0.10184589987618964</v>
      </c>
      <c r="N129" s="107">
        <f t="shared" si="83"/>
        <v>0.29902664954722463</v>
      </c>
      <c r="O129" s="128"/>
      <c r="P129" s="128"/>
    </row>
    <row r="130" spans="2:16" x14ac:dyDescent="0.25">
      <c r="B130" s="138" t="s">
        <v>105</v>
      </c>
      <c r="C130" s="131"/>
      <c r="D130" s="131"/>
      <c r="E130" s="131"/>
      <c r="F130" s="131"/>
      <c r="G130" s="131"/>
      <c r="H130" s="131"/>
      <c r="I130" s="131">
        <v>1.84</v>
      </c>
      <c r="J130" s="131">
        <v>1.81</v>
      </c>
      <c r="K130" s="154">
        <v>2.63</v>
      </c>
      <c r="L130" s="154">
        <v>2.88</v>
      </c>
      <c r="M130" s="154">
        <v>2.77</v>
      </c>
      <c r="N130" s="154">
        <v>2.31</v>
      </c>
      <c r="O130" s="130">
        <f>+AVERAGE(E130:N130)</f>
        <v>2.3733333333333335</v>
      </c>
      <c r="P130" s="130">
        <f>+AVERAGE(L130:N130)</f>
        <v>2.6533333333333338</v>
      </c>
    </row>
    <row r="131" spans="2:16" x14ac:dyDescent="0.25">
      <c r="B131" s="103" t="s">
        <v>212</v>
      </c>
      <c r="C131" s="144"/>
      <c r="D131" s="144"/>
      <c r="E131" s="144"/>
      <c r="F131" s="144"/>
      <c r="G131" s="144"/>
      <c r="H131" s="144"/>
      <c r="I131" s="144">
        <v>12.381</v>
      </c>
      <c r="J131" s="144">
        <v>252.86500000000001</v>
      </c>
      <c r="K131" s="144">
        <v>122.199</v>
      </c>
      <c r="L131" s="144">
        <v>-101.672</v>
      </c>
      <c r="M131" s="144">
        <v>82.906000000000006</v>
      </c>
      <c r="N131" s="144">
        <v>315.87400000000002</v>
      </c>
      <c r="O131" s="128"/>
      <c r="P131" s="128"/>
    </row>
    <row r="132" spans="2:16" x14ac:dyDescent="0.25">
      <c r="B132" s="103" t="s">
        <v>93</v>
      </c>
      <c r="C132" s="124">
        <f t="shared" ref="C132:J132" si="84">IFERROR(C131/C120,0)</f>
        <v>0</v>
      </c>
      <c r="D132" s="124">
        <f t="shared" si="84"/>
        <v>0</v>
      </c>
      <c r="E132" s="124">
        <f t="shared" si="84"/>
        <v>0</v>
      </c>
      <c r="F132" s="124">
        <f t="shared" si="84"/>
        <v>0</v>
      </c>
      <c r="G132" s="124">
        <f t="shared" si="84"/>
        <v>0</v>
      </c>
      <c r="H132" s="124">
        <f t="shared" si="84"/>
        <v>0</v>
      </c>
      <c r="I132" s="124">
        <f t="shared" si="84"/>
        <v>6.1292079207920791E-3</v>
      </c>
      <c r="J132" s="124">
        <f t="shared" si="84"/>
        <v>0.12511875309252846</v>
      </c>
      <c r="K132" s="124">
        <f>IFERROR(K131/K123,0)</f>
        <v>0.19538251505581697</v>
      </c>
      <c r="L132" s="124">
        <f>IFERROR(L131/L123,0)</f>
        <v>-0.14660272883203748</v>
      </c>
      <c r="M132" s="124">
        <f>IFERROR(M131/M123,0)</f>
        <v>0.11044808407764416</v>
      </c>
      <c r="N132" s="124">
        <f>IFERROR(N131/N123,0)</f>
        <v>0.41430328003217159</v>
      </c>
      <c r="O132" s="128"/>
      <c r="P132" s="128"/>
    </row>
    <row r="133" spans="2:16" x14ac:dyDescent="0.25">
      <c r="B133" s="103" t="s">
        <v>94</v>
      </c>
      <c r="C133" s="127">
        <f>IFERROR(C124/C131,0)</f>
        <v>0</v>
      </c>
      <c r="D133" s="127">
        <f t="shared" ref="D133:L133" si="85">IFERROR(D124/D131,0)</f>
        <v>0</v>
      </c>
      <c r="E133" s="127">
        <f t="shared" si="85"/>
        <v>0</v>
      </c>
      <c r="F133" s="127">
        <f t="shared" si="85"/>
        <v>0</v>
      </c>
      <c r="G133" s="127">
        <f t="shared" si="85"/>
        <v>0</v>
      </c>
      <c r="H133" s="127">
        <f t="shared" si="85"/>
        <v>0</v>
      </c>
      <c r="I133" s="127">
        <f t="shared" si="85"/>
        <v>59.376659131295717</v>
      </c>
      <c r="J133" s="127">
        <f t="shared" si="85"/>
        <v>7.0245044249753805</v>
      </c>
      <c r="K133" s="127">
        <f t="shared" si="85"/>
        <v>18.640324653400185</v>
      </c>
      <c r="L133" s="127">
        <f t="shared" si="85"/>
        <v>-33.142337123298454</v>
      </c>
      <c r="M133" s="127">
        <f t="shared" ref="M133:N133" si="86">IFERROR(M124/M131,0)</f>
        <v>60.696686670458639</v>
      </c>
      <c r="N133" s="127">
        <f t="shared" si="86"/>
        <v>23.916599964091127</v>
      </c>
      <c r="O133" s="129">
        <f>+AVERAGE(E133:N133)</f>
        <v>13.651243772092261</v>
      </c>
      <c r="P133" s="129">
        <f>+AVERAGE(L133:N133)</f>
        <v>17.156983170417103</v>
      </c>
    </row>
    <row r="134" spans="2:16" x14ac:dyDescent="0.25">
      <c r="B134" s="103"/>
      <c r="C134" s="16"/>
      <c r="D134" s="16"/>
      <c r="E134" s="16"/>
      <c r="F134" s="16"/>
      <c r="G134" s="16"/>
      <c r="H134" s="90"/>
      <c r="I134" s="90"/>
      <c r="J134" s="90"/>
      <c r="K134" s="90"/>
      <c r="L134" s="90"/>
      <c r="M134" s="90"/>
      <c r="N134" s="90"/>
      <c r="O134" s="90"/>
      <c r="P134" s="90"/>
    </row>
    <row r="135" spans="2:16" s="3" customFormat="1" ht="14.25" customHeight="1" x14ac:dyDescent="0.25">
      <c r="B135" s="99"/>
    </row>
    <row r="137" spans="2:16" ht="18" x14ac:dyDescent="0.25">
      <c r="B137" s="19" t="s">
        <v>239</v>
      </c>
      <c r="C137" s="5">
        <v>2014</v>
      </c>
      <c r="D137" s="5">
        <v>2015</v>
      </c>
      <c r="E137" s="5">
        <v>2016</v>
      </c>
      <c r="F137" s="5">
        <v>2017</v>
      </c>
      <c r="G137" s="5">
        <v>2018</v>
      </c>
      <c r="H137" s="5">
        <v>2019</v>
      </c>
      <c r="I137" s="5">
        <v>2020</v>
      </c>
      <c r="J137" s="5">
        <v>2021</v>
      </c>
      <c r="K137" s="5">
        <v>2022</v>
      </c>
      <c r="L137" s="5">
        <v>2023</v>
      </c>
      <c r="M137" s="5">
        <v>2024</v>
      </c>
      <c r="N137" s="5">
        <v>2025</v>
      </c>
      <c r="O137" s="5" t="s">
        <v>216</v>
      </c>
      <c r="P137" s="5" t="s">
        <v>217</v>
      </c>
    </row>
    <row r="138" spans="2:16" x14ac:dyDescent="0.25">
      <c r="B138" s="103" t="s">
        <v>200</v>
      </c>
      <c r="C138" s="144">
        <f t="shared" ref="C138:L138" si="87">+C71</f>
        <v>1.83</v>
      </c>
      <c r="D138" s="144">
        <f t="shared" si="87"/>
        <v>1.81</v>
      </c>
      <c r="E138" s="144">
        <f t="shared" si="87"/>
        <v>1.54</v>
      </c>
      <c r="F138" s="144">
        <f t="shared" si="87"/>
        <v>1.6</v>
      </c>
      <c r="G138" s="144">
        <f t="shared" si="87"/>
        <v>1.72</v>
      </c>
      <c r="H138" s="144">
        <f t="shared" si="87"/>
        <v>1.65</v>
      </c>
      <c r="I138" s="144">
        <f t="shared" si="87"/>
        <v>1.56</v>
      </c>
      <c r="J138" s="144">
        <f t="shared" si="87"/>
        <v>1.79</v>
      </c>
      <c r="K138" s="144">
        <f t="shared" si="87"/>
        <v>2.19</v>
      </c>
      <c r="L138" s="144">
        <f t="shared" si="87"/>
        <v>2.31</v>
      </c>
      <c r="M138" s="144">
        <v>2.37</v>
      </c>
      <c r="N138" s="144">
        <v>2.38</v>
      </c>
      <c r="O138" s="157">
        <f>+IFERROR(AVERAGE(E138:N138),0)</f>
        <v>1.911</v>
      </c>
      <c r="P138" s="157">
        <f>+IFERROR(AVERAGE(L138:N138),0)</f>
        <v>2.3533333333333331</v>
      </c>
    </row>
    <row r="139" spans="2:16" x14ac:dyDescent="0.25">
      <c r="B139" s="103" t="s">
        <v>222</v>
      </c>
      <c r="C139" s="144">
        <f t="shared" ref="C139:L139" si="88">+C91</f>
        <v>0</v>
      </c>
      <c r="D139" s="144">
        <f t="shared" si="88"/>
        <v>1.9925000000000002</v>
      </c>
      <c r="E139" s="144">
        <f t="shared" si="88"/>
        <v>7.5499999999999989</v>
      </c>
      <c r="F139" s="144">
        <f t="shared" si="88"/>
        <v>1.4824999999999999</v>
      </c>
      <c r="G139" s="144">
        <f t="shared" si="88"/>
        <v>2</v>
      </c>
      <c r="H139" s="144">
        <f t="shared" si="88"/>
        <v>2.0699999999999998</v>
      </c>
      <c r="I139" s="144">
        <f t="shared" si="88"/>
        <v>1.9950000000000001</v>
      </c>
      <c r="J139" s="144">
        <f t="shared" si="88"/>
        <v>1.94</v>
      </c>
      <c r="K139" s="144">
        <f t="shared" si="88"/>
        <v>3.0175000000000001</v>
      </c>
      <c r="L139" s="144">
        <f t="shared" si="88"/>
        <v>2.4275000000000002</v>
      </c>
      <c r="M139" s="144">
        <v>2.66</v>
      </c>
      <c r="N139" s="144">
        <v>2.66</v>
      </c>
      <c r="O139" s="157">
        <f t="shared" ref="O139:O147" si="89">+IFERROR(AVERAGE(E139:N139),0)</f>
        <v>2.7802500000000001</v>
      </c>
      <c r="P139" s="157">
        <f t="shared" ref="P139:P147" si="90">+IFERROR(AVERAGE(L139:N139),0)</f>
        <v>2.5825</v>
      </c>
    </row>
    <row r="140" spans="2:16" x14ac:dyDescent="0.25">
      <c r="B140" s="103" t="s">
        <v>223</v>
      </c>
      <c r="C140" s="144">
        <f t="shared" ref="C140:L140" si="91">+C110</f>
        <v>1.89</v>
      </c>
      <c r="D140" s="144">
        <f t="shared" si="91"/>
        <v>1.66</v>
      </c>
      <c r="E140" s="144">
        <f t="shared" si="91"/>
        <v>1.44</v>
      </c>
      <c r="F140" s="144">
        <f t="shared" si="91"/>
        <v>1.49</v>
      </c>
      <c r="G140" s="144">
        <f t="shared" si="91"/>
        <v>1.54</v>
      </c>
      <c r="H140" s="144">
        <f t="shared" si="91"/>
        <v>1.52</v>
      </c>
      <c r="I140" s="144">
        <f t="shared" si="91"/>
        <v>1.37</v>
      </c>
      <c r="J140" s="144">
        <f t="shared" si="91"/>
        <v>1.64</v>
      </c>
      <c r="K140" s="144">
        <f t="shared" si="91"/>
        <v>2.02</v>
      </c>
      <c r="L140" s="144">
        <f t="shared" si="91"/>
        <v>2.19</v>
      </c>
      <c r="M140" s="144">
        <v>2.13</v>
      </c>
      <c r="N140" s="144">
        <v>2.19</v>
      </c>
      <c r="O140" s="157">
        <f t="shared" si="89"/>
        <v>1.7530000000000001</v>
      </c>
      <c r="P140" s="157">
        <f t="shared" si="90"/>
        <v>2.17</v>
      </c>
    </row>
    <row r="141" spans="2:16" x14ac:dyDescent="0.25">
      <c r="B141" s="103" t="s">
        <v>224</v>
      </c>
      <c r="C141" s="144">
        <f>+C130</f>
        <v>0</v>
      </c>
      <c r="D141" s="144">
        <f t="shared" ref="D141:L141" si="92">+D130</f>
        <v>0</v>
      </c>
      <c r="E141" s="144">
        <f t="shared" si="92"/>
        <v>0</v>
      </c>
      <c r="F141" s="144">
        <f t="shared" si="92"/>
        <v>0</v>
      </c>
      <c r="G141" s="144">
        <f t="shared" si="92"/>
        <v>0</v>
      </c>
      <c r="H141" s="144">
        <f t="shared" si="92"/>
        <v>0</v>
      </c>
      <c r="I141" s="144">
        <f t="shared" si="92"/>
        <v>1.84</v>
      </c>
      <c r="J141" s="144">
        <v>1.81</v>
      </c>
      <c r="K141" s="155">
        <f t="shared" si="92"/>
        <v>2.63</v>
      </c>
      <c r="L141" s="155">
        <f t="shared" si="92"/>
        <v>2.88</v>
      </c>
      <c r="M141" s="155">
        <v>2.77</v>
      </c>
      <c r="N141" s="155">
        <v>2.31</v>
      </c>
      <c r="O141" s="157">
        <f t="shared" si="89"/>
        <v>1.4239999999999999</v>
      </c>
      <c r="P141" s="157">
        <f t="shared" si="90"/>
        <v>2.6533333333333338</v>
      </c>
    </row>
    <row r="142" spans="2:16" x14ac:dyDescent="0.25">
      <c r="B142" s="103" t="s">
        <v>225</v>
      </c>
      <c r="C142" s="144">
        <v>1.94</v>
      </c>
      <c r="D142" s="144">
        <v>1.64</v>
      </c>
      <c r="E142" s="144">
        <v>1.52</v>
      </c>
      <c r="F142" s="144">
        <v>1.75</v>
      </c>
      <c r="G142" s="144">
        <v>1.74</v>
      </c>
      <c r="H142" s="144">
        <v>1.68</v>
      </c>
      <c r="I142" s="144">
        <v>1.57</v>
      </c>
      <c r="J142" s="144">
        <v>1.8</v>
      </c>
      <c r="K142" s="144">
        <v>2.02</v>
      </c>
      <c r="L142" s="144">
        <v>2.27</v>
      </c>
      <c r="M142" s="144">
        <v>2.54</v>
      </c>
      <c r="N142" s="144">
        <v>2.5499999999999998</v>
      </c>
      <c r="O142" s="157">
        <f t="shared" si="89"/>
        <v>1.9440000000000002</v>
      </c>
      <c r="P142" s="157">
        <f t="shared" si="90"/>
        <v>2.4533333333333336</v>
      </c>
    </row>
    <row r="143" spans="2:16" x14ac:dyDescent="0.25">
      <c r="B143" s="103" t="s">
        <v>226</v>
      </c>
      <c r="C143" s="144" t="s">
        <v>191</v>
      </c>
      <c r="D143" s="144" t="s">
        <v>191</v>
      </c>
      <c r="E143" s="144" t="s">
        <v>191</v>
      </c>
      <c r="F143" s="144" t="s">
        <v>191</v>
      </c>
      <c r="G143" s="144" t="s">
        <v>191</v>
      </c>
      <c r="H143" s="144" t="s">
        <v>191</v>
      </c>
      <c r="I143" s="144" t="s">
        <v>191</v>
      </c>
      <c r="J143" s="144">
        <f>(1.27+1.38)/2</f>
        <v>1.325</v>
      </c>
      <c r="K143" s="144">
        <v>1.39</v>
      </c>
      <c r="L143" s="144">
        <v>1.45</v>
      </c>
      <c r="M143" s="144">
        <v>1.65</v>
      </c>
      <c r="N143" s="144">
        <v>2.16</v>
      </c>
      <c r="O143" s="157">
        <f t="shared" si="89"/>
        <v>1.595</v>
      </c>
      <c r="P143" s="157">
        <f t="shared" si="90"/>
        <v>1.7533333333333332</v>
      </c>
    </row>
    <row r="144" spans="2:16" x14ac:dyDescent="0.25">
      <c r="B144" s="103" t="s">
        <v>227</v>
      </c>
      <c r="C144" s="144" t="s">
        <v>191</v>
      </c>
      <c r="D144" s="144" t="s">
        <v>191</v>
      </c>
      <c r="E144" s="144" t="s">
        <v>191</v>
      </c>
      <c r="F144" s="144">
        <v>1.044</v>
      </c>
      <c r="G144" s="144">
        <v>1.47</v>
      </c>
      <c r="H144" s="144">
        <v>1.39</v>
      </c>
      <c r="I144" s="144">
        <v>1.35</v>
      </c>
      <c r="J144" s="144">
        <v>1.5229999999999999</v>
      </c>
      <c r="K144" s="144">
        <v>2.14</v>
      </c>
      <c r="L144" s="144">
        <v>2.4500000000000002</v>
      </c>
      <c r="M144" s="144">
        <f>+AVERAGE(1.73,2.51,1.58,4.2,2.19,0.41)</f>
        <v>2.1033333333333331</v>
      </c>
      <c r="N144" s="144">
        <v>1.87</v>
      </c>
      <c r="O144" s="157">
        <f t="shared" si="89"/>
        <v>1.7044814814814815</v>
      </c>
      <c r="P144" s="157">
        <f t="shared" si="90"/>
        <v>2.141111111111111</v>
      </c>
    </row>
    <row r="145" spans="2:16" x14ac:dyDescent="0.25">
      <c r="B145" s="103" t="s">
        <v>228</v>
      </c>
      <c r="C145" s="144" t="s">
        <v>191</v>
      </c>
      <c r="D145" s="144" t="s">
        <v>191</v>
      </c>
      <c r="E145" s="144" t="s">
        <v>191</v>
      </c>
      <c r="F145" s="144" t="s">
        <v>191</v>
      </c>
      <c r="G145" s="144" t="s">
        <v>191</v>
      </c>
      <c r="H145" s="144" t="s">
        <v>191</v>
      </c>
      <c r="I145" s="144" t="s">
        <v>191</v>
      </c>
      <c r="J145" s="144">
        <v>1.89</v>
      </c>
      <c r="K145" s="144">
        <f>+(2.94+1.57)/2</f>
        <v>2.2549999999999999</v>
      </c>
      <c r="L145" s="144">
        <f>+(3.56+2.16)/2</f>
        <v>2.8600000000000003</v>
      </c>
      <c r="M145" s="144">
        <v>2.16</v>
      </c>
      <c r="N145" s="144" t="s">
        <v>191</v>
      </c>
      <c r="O145" s="157">
        <f t="shared" si="89"/>
        <v>2.2912499999999998</v>
      </c>
      <c r="P145" s="157">
        <f t="shared" si="90"/>
        <v>2.5100000000000002</v>
      </c>
    </row>
    <row r="146" spans="2:16" x14ac:dyDescent="0.25">
      <c r="B146" s="103" t="s">
        <v>229</v>
      </c>
      <c r="C146" s="144">
        <v>2.12</v>
      </c>
      <c r="D146" s="144">
        <v>2.13</v>
      </c>
      <c r="E146" s="144">
        <v>1.83</v>
      </c>
      <c r="F146" s="144">
        <v>2.0499999999999998</v>
      </c>
      <c r="G146" s="144">
        <v>2.11</v>
      </c>
      <c r="H146" s="144">
        <v>2.16</v>
      </c>
      <c r="I146" s="144">
        <v>2.2999999999999998</v>
      </c>
      <c r="J146" s="144">
        <v>2.23</v>
      </c>
      <c r="K146" s="144">
        <v>2.73</v>
      </c>
      <c r="L146" s="144">
        <v>2.76</v>
      </c>
      <c r="M146" s="144">
        <v>2.8</v>
      </c>
      <c r="N146" s="144">
        <v>3.21</v>
      </c>
      <c r="O146" s="157">
        <f t="shared" si="89"/>
        <v>2.4180000000000001</v>
      </c>
      <c r="P146" s="157">
        <f t="shared" si="90"/>
        <v>2.9233333333333333</v>
      </c>
    </row>
    <row r="147" spans="2:16" x14ac:dyDescent="0.25">
      <c r="B147" s="103" t="s">
        <v>230</v>
      </c>
      <c r="C147" s="144" t="s">
        <v>191</v>
      </c>
      <c r="D147" s="144" t="s">
        <v>191</v>
      </c>
      <c r="E147" s="144" t="s">
        <v>191</v>
      </c>
      <c r="F147" s="144" t="s">
        <v>191</v>
      </c>
      <c r="G147" s="144" t="s">
        <v>191</v>
      </c>
      <c r="H147" s="144" t="s">
        <v>191</v>
      </c>
      <c r="I147" s="144">
        <v>1.93</v>
      </c>
      <c r="J147" s="144">
        <v>2.0699999999999998</v>
      </c>
      <c r="K147" s="144">
        <v>2.0699999999999998</v>
      </c>
      <c r="L147" s="144">
        <v>1.72</v>
      </c>
      <c r="M147" s="144">
        <v>1.62</v>
      </c>
      <c r="N147" s="144" t="s">
        <v>268</v>
      </c>
      <c r="O147" s="157">
        <f t="shared" si="89"/>
        <v>1.8820000000000001</v>
      </c>
      <c r="P147" s="157">
        <f t="shared" si="90"/>
        <v>1.67</v>
      </c>
    </row>
    <row r="148" spans="2:16" ht="18" x14ac:dyDescent="0.25">
      <c r="B148" s="19" t="s">
        <v>231</v>
      </c>
      <c r="C148" s="159">
        <f t="shared" ref="C148:N148" si="93">+AVERAGE(C138:C147)</f>
        <v>1.2966666666666666</v>
      </c>
      <c r="D148" s="159">
        <f t="shared" si="93"/>
        <v>1.5387500000000001</v>
      </c>
      <c r="E148" s="159">
        <f t="shared" si="93"/>
        <v>2.313333333333333</v>
      </c>
      <c r="F148" s="159">
        <f t="shared" si="93"/>
        <v>1.3452142857142857</v>
      </c>
      <c r="G148" s="159">
        <f t="shared" si="93"/>
        <v>1.5114285714285713</v>
      </c>
      <c r="H148" s="159">
        <f t="shared" si="93"/>
        <v>1.4957142857142858</v>
      </c>
      <c r="I148" s="159">
        <f t="shared" si="93"/>
        <v>1.7393749999999999</v>
      </c>
      <c r="J148" s="159">
        <f t="shared" si="93"/>
        <v>1.8018000000000001</v>
      </c>
      <c r="K148" s="159">
        <f t="shared" si="93"/>
        <v>2.2462499999999999</v>
      </c>
      <c r="L148" s="159">
        <f t="shared" si="93"/>
        <v>2.3317499999999995</v>
      </c>
      <c r="M148" s="159">
        <f t="shared" si="93"/>
        <v>2.2803333333333335</v>
      </c>
      <c r="N148" s="159">
        <f t="shared" si="93"/>
        <v>2.4162500000000002</v>
      </c>
    </row>
    <row r="149" spans="2:16" x14ac:dyDescent="0.25">
      <c r="C149" s="158"/>
      <c r="D149" s="158"/>
      <c r="E149" s="158"/>
      <c r="F149" s="158"/>
      <c r="G149" s="158"/>
      <c r="H149" s="158"/>
      <c r="I149" s="158"/>
      <c r="J149" s="158"/>
      <c r="K149" s="158"/>
      <c r="L149" s="158"/>
      <c r="M149" s="158"/>
      <c r="N149" s="158"/>
    </row>
    <row r="150" spans="2:16" ht="18" x14ac:dyDescent="0.25">
      <c r="B150" s="19" t="s">
        <v>238</v>
      </c>
      <c r="C150" s="5">
        <v>2014</v>
      </c>
      <c r="D150" s="5">
        <v>2015</v>
      </c>
      <c r="E150" s="5">
        <v>2016</v>
      </c>
      <c r="F150" s="5">
        <v>2017</v>
      </c>
      <c r="G150" s="5">
        <v>2018</v>
      </c>
      <c r="H150" s="5">
        <v>2019</v>
      </c>
      <c r="I150" s="5">
        <v>2020</v>
      </c>
      <c r="J150" s="5">
        <v>2021</v>
      </c>
      <c r="K150" s="5">
        <v>2022</v>
      </c>
      <c r="L150" s="5">
        <v>2023</v>
      </c>
      <c r="M150" s="5">
        <v>2024</v>
      </c>
      <c r="N150" s="5">
        <v>2025</v>
      </c>
      <c r="O150" s="5" t="s">
        <v>216</v>
      </c>
      <c r="P150" s="5" t="s">
        <v>217</v>
      </c>
    </row>
    <row r="151" spans="2:16" x14ac:dyDescent="0.25">
      <c r="B151" s="103" t="s">
        <v>200</v>
      </c>
      <c r="C151" s="144">
        <f t="shared" ref="C151:L151" si="94">+C72</f>
        <v>1.43</v>
      </c>
      <c r="D151" s="144">
        <f t="shared" si="94"/>
        <v>1.5</v>
      </c>
      <c r="E151" s="144">
        <f t="shared" si="94"/>
        <v>1.2</v>
      </c>
      <c r="F151" s="144">
        <f t="shared" si="94"/>
        <v>1.25</v>
      </c>
      <c r="G151" s="144">
        <f t="shared" si="94"/>
        <v>1.29</v>
      </c>
      <c r="H151" s="144">
        <f t="shared" si="94"/>
        <v>1.22</v>
      </c>
      <c r="I151" s="144">
        <f t="shared" si="94"/>
        <v>1.1399999999999999</v>
      </c>
      <c r="J151" s="144">
        <f t="shared" si="94"/>
        <v>1.2</v>
      </c>
      <c r="K151" s="144">
        <f t="shared" si="94"/>
        <v>1.61</v>
      </c>
      <c r="L151" s="144">
        <f t="shared" si="94"/>
        <v>1.61</v>
      </c>
      <c r="M151" s="144">
        <v>1.64</v>
      </c>
      <c r="N151" s="144">
        <v>1.19</v>
      </c>
      <c r="O151" s="157">
        <f>+IFERROR(AVERAGE(E151:N151),0)</f>
        <v>1.335</v>
      </c>
      <c r="P151" s="157">
        <f>+IFERROR(AVERAGE(L151:N151),0)</f>
        <v>1.4799999999999998</v>
      </c>
    </row>
    <row r="152" spans="2:16" x14ac:dyDescent="0.25">
      <c r="B152" s="103" t="s">
        <v>222</v>
      </c>
      <c r="C152" s="144">
        <f t="shared" ref="C152:L152" si="95">+C92</f>
        <v>0</v>
      </c>
      <c r="D152" s="144">
        <f t="shared" si="95"/>
        <v>1.62</v>
      </c>
      <c r="E152" s="144">
        <f t="shared" si="95"/>
        <v>1.5550000000000002</v>
      </c>
      <c r="F152" s="144">
        <f t="shared" si="95"/>
        <v>1.135</v>
      </c>
      <c r="G152" s="144">
        <f t="shared" si="95"/>
        <v>1.6600000000000001</v>
      </c>
      <c r="H152" s="144">
        <f t="shared" si="95"/>
        <v>1.7575000000000001</v>
      </c>
      <c r="I152" s="144">
        <f t="shared" si="95"/>
        <v>1.7025000000000001</v>
      </c>
      <c r="J152" s="144">
        <f t="shared" si="95"/>
        <v>1.6824999999999999</v>
      </c>
      <c r="K152" s="144">
        <f t="shared" si="95"/>
        <v>2.6574999999999998</v>
      </c>
      <c r="L152" s="144">
        <f t="shared" si="95"/>
        <v>2.0549999999999997</v>
      </c>
      <c r="M152" s="144">
        <v>2.33</v>
      </c>
      <c r="N152" s="144">
        <v>2.46</v>
      </c>
      <c r="O152" s="157">
        <f t="shared" ref="O152:O160" si="96">+IFERROR(AVERAGE(E152:N152),0)</f>
        <v>1.8994999999999997</v>
      </c>
      <c r="P152" s="157">
        <f t="shared" ref="P152:P160" si="97">+IFERROR(AVERAGE(L152:N152),0)</f>
        <v>2.2816666666666667</v>
      </c>
    </row>
    <row r="153" spans="2:16" x14ac:dyDescent="0.25">
      <c r="B153" s="103" t="s">
        <v>223</v>
      </c>
      <c r="C153" s="144">
        <f t="shared" ref="C153:L153" si="98">+C111</f>
        <v>1.07</v>
      </c>
      <c r="D153" s="144">
        <f t="shared" si="98"/>
        <v>1.1200000000000001</v>
      </c>
      <c r="E153" s="144">
        <f t="shared" si="98"/>
        <v>0.95</v>
      </c>
      <c r="F153" s="144">
        <f t="shared" si="98"/>
        <v>0.92</v>
      </c>
      <c r="G153" s="144">
        <f t="shared" si="98"/>
        <v>0.87</v>
      </c>
      <c r="H153" s="144">
        <f t="shared" si="98"/>
        <v>0.88</v>
      </c>
      <c r="I153" s="144">
        <f t="shared" si="98"/>
        <v>0.69</v>
      </c>
      <c r="J153" s="144">
        <f t="shared" si="98"/>
        <v>0.67</v>
      </c>
      <c r="K153" s="144">
        <f t="shared" si="98"/>
        <v>0.78</v>
      </c>
      <c r="L153" s="144">
        <f t="shared" si="98"/>
        <v>1.03</v>
      </c>
      <c r="M153" s="144">
        <v>0.89</v>
      </c>
      <c r="N153" s="144">
        <v>1.03</v>
      </c>
      <c r="O153" s="157">
        <f t="shared" si="96"/>
        <v>0.87100000000000011</v>
      </c>
      <c r="P153" s="157">
        <f t="shared" si="97"/>
        <v>0.98333333333333339</v>
      </c>
    </row>
    <row r="154" spans="2:16" x14ac:dyDescent="0.25">
      <c r="B154" s="103" t="s">
        <v>224</v>
      </c>
      <c r="C154" s="144" t="s">
        <v>191</v>
      </c>
      <c r="D154" s="144" t="s">
        <v>191</v>
      </c>
      <c r="E154" s="144" t="s">
        <v>191</v>
      </c>
      <c r="F154" s="144" t="s">
        <v>191</v>
      </c>
      <c r="G154" s="144" t="s">
        <v>191</v>
      </c>
      <c r="H154" s="144" t="s">
        <v>191</v>
      </c>
      <c r="I154" s="144" t="s">
        <v>191</v>
      </c>
      <c r="J154" s="144" t="s">
        <v>191</v>
      </c>
      <c r="K154" s="144" t="s">
        <v>191</v>
      </c>
      <c r="L154" s="144" t="s">
        <v>191</v>
      </c>
      <c r="M154" s="144" t="s">
        <v>191</v>
      </c>
      <c r="N154" s="144" t="s">
        <v>191</v>
      </c>
      <c r="O154" s="157">
        <f t="shared" si="96"/>
        <v>0</v>
      </c>
      <c r="P154" s="157">
        <f t="shared" si="97"/>
        <v>0</v>
      </c>
    </row>
    <row r="155" spans="2:16" x14ac:dyDescent="0.25">
      <c r="B155" s="103" t="s">
        <v>225</v>
      </c>
      <c r="C155" s="144">
        <v>1.65</v>
      </c>
      <c r="D155" s="144">
        <v>1.45</v>
      </c>
      <c r="E155" s="144">
        <v>1.35</v>
      </c>
      <c r="F155" s="144">
        <v>1.33</v>
      </c>
      <c r="G155" s="144">
        <v>1.23</v>
      </c>
      <c r="H155" s="144">
        <v>1.39</v>
      </c>
      <c r="I155" s="144">
        <v>1.28</v>
      </c>
      <c r="J155" s="144">
        <v>1.389</v>
      </c>
      <c r="K155" s="144">
        <v>1.56</v>
      </c>
      <c r="L155" s="144">
        <v>1.87</v>
      </c>
      <c r="M155" s="144">
        <v>2.2000000000000002</v>
      </c>
      <c r="N155" s="144">
        <v>2.0299999999999998</v>
      </c>
      <c r="O155" s="157">
        <f t="shared" si="96"/>
        <v>1.5629</v>
      </c>
      <c r="P155" s="157">
        <f t="shared" si="97"/>
        <v>2.0333333333333332</v>
      </c>
    </row>
    <row r="156" spans="2:16" x14ac:dyDescent="0.25">
      <c r="B156" s="103" t="s">
        <v>226</v>
      </c>
      <c r="C156" s="144" t="s">
        <v>191</v>
      </c>
      <c r="D156" s="144" t="s">
        <v>191</v>
      </c>
      <c r="E156" s="144" t="s">
        <v>191</v>
      </c>
      <c r="F156" s="144" t="s">
        <v>191</v>
      </c>
      <c r="G156" s="144" t="s">
        <v>191</v>
      </c>
      <c r="H156" s="144" t="s">
        <v>191</v>
      </c>
      <c r="I156" s="144" t="s">
        <v>191</v>
      </c>
      <c r="J156" s="144" t="s">
        <v>191</v>
      </c>
      <c r="K156" s="144" t="s">
        <v>191</v>
      </c>
      <c r="L156" s="144" t="s">
        <v>191</v>
      </c>
      <c r="M156" s="144" t="s">
        <v>191</v>
      </c>
      <c r="N156" s="144" t="s">
        <v>191</v>
      </c>
      <c r="O156" s="157">
        <f t="shared" si="96"/>
        <v>0</v>
      </c>
      <c r="P156" s="157">
        <f t="shared" si="97"/>
        <v>0</v>
      </c>
    </row>
    <row r="157" spans="2:16" x14ac:dyDescent="0.25">
      <c r="B157" s="103" t="s">
        <v>227</v>
      </c>
      <c r="C157" s="144" t="s">
        <v>191</v>
      </c>
      <c r="D157" s="144" t="s">
        <v>191</v>
      </c>
      <c r="E157" s="144" t="s">
        <v>191</v>
      </c>
      <c r="F157" s="144" t="s">
        <v>191</v>
      </c>
      <c r="G157" s="144" t="s">
        <v>191</v>
      </c>
      <c r="H157" s="144" t="s">
        <v>191</v>
      </c>
      <c r="I157" s="144" t="s">
        <v>191</v>
      </c>
      <c r="J157" s="144" t="s">
        <v>191</v>
      </c>
      <c r="K157" s="144" t="s">
        <v>191</v>
      </c>
      <c r="L157" s="144" t="s">
        <v>191</v>
      </c>
      <c r="M157" s="144" t="s">
        <v>191</v>
      </c>
      <c r="N157" s="144" t="s">
        <v>191</v>
      </c>
      <c r="O157" s="157">
        <f t="shared" si="96"/>
        <v>0</v>
      </c>
      <c r="P157" s="157">
        <f t="shared" si="97"/>
        <v>0</v>
      </c>
    </row>
    <row r="158" spans="2:16" x14ac:dyDescent="0.25">
      <c r="B158" s="103" t="s">
        <v>228</v>
      </c>
      <c r="C158" s="144" t="s">
        <v>191</v>
      </c>
      <c r="D158" s="144" t="s">
        <v>191</v>
      </c>
      <c r="E158" s="144" t="s">
        <v>191</v>
      </c>
      <c r="F158" s="144" t="s">
        <v>191</v>
      </c>
      <c r="G158" s="144">
        <v>0.93</v>
      </c>
      <c r="H158" s="144">
        <v>0.83</v>
      </c>
      <c r="I158" s="144">
        <v>0.72</v>
      </c>
      <c r="J158" s="144">
        <v>0.82</v>
      </c>
      <c r="K158" s="144">
        <f>+(1.45+1.18)/2</f>
        <v>1.3149999999999999</v>
      </c>
      <c r="L158" s="144">
        <f>+(1.99+1.61)/2</f>
        <v>1.8</v>
      </c>
      <c r="M158" s="144">
        <v>1.96</v>
      </c>
      <c r="N158" s="144">
        <v>1.54</v>
      </c>
      <c r="O158" s="157">
        <f t="shared" si="96"/>
        <v>1.2393749999999999</v>
      </c>
      <c r="P158" s="157">
        <f t="shared" si="97"/>
        <v>1.7666666666666666</v>
      </c>
    </row>
    <row r="159" spans="2:16" x14ac:dyDescent="0.25">
      <c r="B159" s="103" t="s">
        <v>229</v>
      </c>
      <c r="C159" s="144">
        <v>1.41</v>
      </c>
      <c r="D159" s="144">
        <v>1.21</v>
      </c>
      <c r="E159" s="144">
        <v>1.06</v>
      </c>
      <c r="F159" s="144">
        <v>1.23</v>
      </c>
      <c r="G159" s="144">
        <v>1.28</v>
      </c>
      <c r="H159" s="144">
        <v>1.31</v>
      </c>
      <c r="I159" s="144">
        <v>1.31</v>
      </c>
      <c r="J159" s="144">
        <v>1.3</v>
      </c>
      <c r="K159" s="144">
        <v>1.76</v>
      </c>
      <c r="L159" s="144">
        <v>1.82</v>
      </c>
      <c r="M159" s="144">
        <v>1.74</v>
      </c>
      <c r="N159" s="144">
        <v>2.02</v>
      </c>
      <c r="O159" s="157">
        <f t="shared" si="96"/>
        <v>1.4830000000000001</v>
      </c>
      <c r="P159" s="157">
        <f t="shared" si="97"/>
        <v>1.86</v>
      </c>
    </row>
    <row r="160" spans="2:16" x14ac:dyDescent="0.25">
      <c r="B160" s="103" t="s">
        <v>230</v>
      </c>
      <c r="C160" s="144" t="s">
        <v>191</v>
      </c>
      <c r="D160" s="144" t="s">
        <v>191</v>
      </c>
      <c r="E160" s="144" t="s">
        <v>191</v>
      </c>
      <c r="F160" s="144" t="s">
        <v>191</v>
      </c>
      <c r="G160" s="144" t="s">
        <v>191</v>
      </c>
      <c r="H160" s="144" t="s">
        <v>191</v>
      </c>
      <c r="I160" s="144">
        <v>0.6</v>
      </c>
      <c r="J160" s="144">
        <v>0.74</v>
      </c>
      <c r="K160" s="144">
        <v>0.86</v>
      </c>
      <c r="L160" s="144">
        <v>0.8</v>
      </c>
      <c r="M160" s="144">
        <v>0.46</v>
      </c>
      <c r="N160" s="144" t="s">
        <v>268</v>
      </c>
      <c r="O160" s="157">
        <f t="shared" si="96"/>
        <v>0.69199999999999995</v>
      </c>
      <c r="P160" s="157">
        <f t="shared" si="97"/>
        <v>0.63</v>
      </c>
    </row>
    <row r="161" spans="2:16" ht="18" x14ac:dyDescent="0.25">
      <c r="B161" s="19" t="s">
        <v>231</v>
      </c>
      <c r="C161" s="159">
        <f t="shared" ref="C161:N161" si="99">+AVERAGE(C151:C160)</f>
        <v>1.1120000000000001</v>
      </c>
      <c r="D161" s="159">
        <f t="shared" si="99"/>
        <v>1.3800000000000001</v>
      </c>
      <c r="E161" s="159">
        <f t="shared" si="99"/>
        <v>1.2230000000000001</v>
      </c>
      <c r="F161" s="159">
        <f t="shared" si="99"/>
        <v>1.173</v>
      </c>
      <c r="G161" s="159">
        <f t="shared" si="99"/>
        <v>1.2100000000000002</v>
      </c>
      <c r="H161" s="159">
        <f t="shared" si="99"/>
        <v>1.23125</v>
      </c>
      <c r="I161" s="159">
        <f t="shared" si="99"/>
        <v>1.0632142857142857</v>
      </c>
      <c r="J161" s="159">
        <f t="shared" si="99"/>
        <v>1.1145</v>
      </c>
      <c r="K161" s="159">
        <f t="shared" si="99"/>
        <v>1.5060714285714283</v>
      </c>
      <c r="L161" s="159">
        <f t="shared" si="99"/>
        <v>1.5692857142857144</v>
      </c>
      <c r="M161" s="159">
        <f t="shared" si="99"/>
        <v>1.602857142857143</v>
      </c>
      <c r="N161" s="159">
        <f t="shared" si="99"/>
        <v>1.7116666666666667</v>
      </c>
    </row>
    <row r="163" spans="2:16" ht="18" x14ac:dyDescent="0.25">
      <c r="B163" s="19" t="s">
        <v>106</v>
      </c>
      <c r="C163" s="5">
        <v>2014</v>
      </c>
      <c r="D163" s="5">
        <v>2015</v>
      </c>
      <c r="E163" s="5">
        <v>2016</v>
      </c>
      <c r="F163" s="5">
        <v>2017</v>
      </c>
      <c r="G163" s="5">
        <v>2018</v>
      </c>
      <c r="H163" s="5">
        <v>2019</v>
      </c>
      <c r="I163" s="5">
        <v>2020</v>
      </c>
      <c r="J163" s="5">
        <v>2021</v>
      </c>
      <c r="K163" s="5">
        <v>2022</v>
      </c>
      <c r="L163" s="5">
        <v>2023</v>
      </c>
      <c r="M163" s="5">
        <v>2024</v>
      </c>
      <c r="N163" s="5">
        <v>2025</v>
      </c>
      <c r="O163" s="5" t="s">
        <v>216</v>
      </c>
      <c r="P163" s="5" t="s">
        <v>217</v>
      </c>
    </row>
    <row r="164" spans="2:16" x14ac:dyDescent="0.25">
      <c r="B164" s="103" t="s">
        <v>224</v>
      </c>
      <c r="C164" s="144" t="s">
        <v>191</v>
      </c>
      <c r="D164" s="144" t="s">
        <v>191</v>
      </c>
      <c r="E164" s="144" t="s">
        <v>191</v>
      </c>
      <c r="F164" s="144" t="s">
        <v>191</v>
      </c>
      <c r="G164" s="144" t="s">
        <v>191</v>
      </c>
      <c r="H164" s="144">
        <v>2.4499999999999997</v>
      </c>
      <c r="I164" s="144">
        <v>2.4050000000000002</v>
      </c>
      <c r="J164" s="144">
        <v>2.4050000000000002</v>
      </c>
      <c r="K164" s="144">
        <v>2.4175</v>
      </c>
      <c r="L164" s="144">
        <v>3.8224999999999998</v>
      </c>
      <c r="M164" s="144">
        <v>3.8200000000000003</v>
      </c>
      <c r="N164" s="144">
        <v>3.77</v>
      </c>
      <c r="O164" s="157">
        <f>+IFERROR(AVERAGE(E164:N164),0)</f>
        <v>3.0128571428571429</v>
      </c>
      <c r="P164" s="157">
        <f>+IFERROR(AVERAGE(L164:N164),0)</f>
        <v>3.8041666666666667</v>
      </c>
    </row>
    <row r="165" spans="2:16" x14ac:dyDescent="0.25">
      <c r="B165" s="103" t="s">
        <v>227</v>
      </c>
      <c r="C165" s="144" t="s">
        <v>191</v>
      </c>
      <c r="D165" s="144" t="s">
        <v>191</v>
      </c>
      <c r="E165" s="144" t="s">
        <v>191</v>
      </c>
      <c r="F165" s="144">
        <v>1.77</v>
      </c>
      <c r="G165" s="144">
        <v>2.66</v>
      </c>
      <c r="H165" s="144">
        <v>2.63</v>
      </c>
      <c r="I165" s="144">
        <v>2.25</v>
      </c>
      <c r="J165" s="144">
        <v>2.37</v>
      </c>
      <c r="K165" s="144">
        <v>3.41</v>
      </c>
      <c r="L165" s="144">
        <v>3.57</v>
      </c>
      <c r="M165" s="144">
        <f>+AVERAGE(2.62,3.48,3.07,7.6,3.92,0.87)</f>
        <v>3.5933333333333333</v>
      </c>
      <c r="N165" s="144">
        <f>+AVERAGE(2.75,3.03,2.06)</f>
        <v>2.6133333333333333</v>
      </c>
      <c r="O165" s="157">
        <f t="shared" ref="O165:O167" si="100">+IFERROR(AVERAGE(E165:N165),0)</f>
        <v>2.7629629629629631</v>
      </c>
      <c r="P165" s="157">
        <f t="shared" ref="P165:P167" si="101">+IFERROR(AVERAGE(L165:N165),0)</f>
        <v>3.2588888888888889</v>
      </c>
    </row>
    <row r="166" spans="2:16" x14ac:dyDescent="0.25">
      <c r="B166" s="103" t="s">
        <v>229</v>
      </c>
      <c r="C166" s="144" t="s">
        <v>191</v>
      </c>
      <c r="D166" s="144" t="s">
        <v>191</v>
      </c>
      <c r="E166" s="144">
        <v>1.46</v>
      </c>
      <c r="F166" s="144">
        <v>1.65</v>
      </c>
      <c r="G166" s="144">
        <v>1.74</v>
      </c>
      <c r="H166" s="144">
        <v>1.78</v>
      </c>
      <c r="I166" s="144">
        <v>1.63</v>
      </c>
      <c r="J166" s="144">
        <v>1.88</v>
      </c>
      <c r="K166" s="144">
        <v>2.35</v>
      </c>
      <c r="L166" s="144">
        <v>2.46</v>
      </c>
      <c r="M166" s="144">
        <v>2.66</v>
      </c>
      <c r="N166" s="144">
        <v>3.17</v>
      </c>
      <c r="O166" s="157">
        <f t="shared" si="100"/>
        <v>2.0780000000000003</v>
      </c>
      <c r="P166" s="157">
        <f t="shared" si="101"/>
        <v>2.7633333333333332</v>
      </c>
    </row>
    <row r="167" spans="2:16" x14ac:dyDescent="0.25">
      <c r="B167" s="103" t="s">
        <v>230</v>
      </c>
      <c r="C167" s="144" t="s">
        <v>191</v>
      </c>
      <c r="D167" s="144" t="s">
        <v>191</v>
      </c>
      <c r="E167" s="144" t="s">
        <v>191</v>
      </c>
      <c r="F167" s="144" t="s">
        <v>191</v>
      </c>
      <c r="G167" s="144" t="s">
        <v>191</v>
      </c>
      <c r="H167" s="144" t="s">
        <v>191</v>
      </c>
      <c r="I167" s="144">
        <v>2.16</v>
      </c>
      <c r="J167" s="144">
        <v>2.2999999999999998</v>
      </c>
      <c r="K167" s="144">
        <v>2.2599999999999998</v>
      </c>
      <c r="L167" s="144">
        <v>1.92</v>
      </c>
      <c r="M167" s="144">
        <v>1.88</v>
      </c>
      <c r="N167" s="144" t="s">
        <v>268</v>
      </c>
      <c r="O167" s="157">
        <f t="shared" si="100"/>
        <v>2.1040000000000001</v>
      </c>
      <c r="P167" s="157">
        <f t="shared" si="101"/>
        <v>1.9</v>
      </c>
    </row>
    <row r="168" spans="2:16" ht="18" x14ac:dyDescent="0.25">
      <c r="B168" s="19" t="s">
        <v>231</v>
      </c>
      <c r="C168" s="159">
        <f>+IFERROR(AVERAGE(C164:C167),0)</f>
        <v>0</v>
      </c>
      <c r="D168" s="159">
        <f t="shared" ref="D168:N168" si="102">+IFERROR(AVERAGE(D164:D167),0)</f>
        <v>0</v>
      </c>
      <c r="E168" s="159">
        <f t="shared" si="102"/>
        <v>1.46</v>
      </c>
      <c r="F168" s="159">
        <f t="shared" si="102"/>
        <v>1.71</v>
      </c>
      <c r="G168" s="159">
        <f t="shared" si="102"/>
        <v>2.2000000000000002</v>
      </c>
      <c r="H168" s="159">
        <f t="shared" si="102"/>
        <v>2.2866666666666666</v>
      </c>
      <c r="I168" s="159">
        <f t="shared" si="102"/>
        <v>2.1112500000000001</v>
      </c>
      <c r="J168" s="159">
        <f t="shared" si="102"/>
        <v>2.23875</v>
      </c>
      <c r="K168" s="159">
        <f t="shared" si="102"/>
        <v>2.609375</v>
      </c>
      <c r="L168" s="159">
        <f t="shared" si="102"/>
        <v>2.9431249999999998</v>
      </c>
      <c r="M168" s="159">
        <f t="shared" si="102"/>
        <v>2.9883333333333333</v>
      </c>
      <c r="N168" s="159">
        <f t="shared" si="102"/>
        <v>3.1844444444444444</v>
      </c>
    </row>
  </sheetData>
  <hyperlinks>
    <hyperlink ref="C60" r:id="rId1" xr:uid="{2812B30B-B2A5-44FF-9713-A279B2B78893}"/>
    <hyperlink ref="C81" r:id="rId2" xr:uid="{82EDF465-A149-43F4-8F57-AF53F153DC49}"/>
    <hyperlink ref="C100" r:id="rId3" xr:uid="{3E144C48-44D0-4008-B9B7-3EDB02822061}"/>
    <hyperlink ref="C119" r:id="rId4" location="h-financial-reports" xr:uid="{32755E27-FE8F-4B41-A876-5BF3C901F348}"/>
  </hyperlinks>
  <pageMargins left="0.7" right="0.7" top="0.75" bottom="0.75" header="0.3" footer="0.3"/>
  <pageSetup paperSize="9" orientation="portrait" r:id="rId5"/>
  <drawing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14:G31"/>
  <sheetViews>
    <sheetView zoomScale="70" zoomScaleNormal="70" workbookViewId="0">
      <selection activeCell="C24" sqref="C24"/>
    </sheetView>
  </sheetViews>
  <sheetFormatPr defaultColWidth="10.7109375" defaultRowHeight="15" x14ac:dyDescent="0.25"/>
  <cols>
    <col min="1" max="1" width="10.7109375" style="1" customWidth="1"/>
    <col min="2" max="2" width="13" style="1" customWidth="1"/>
    <col min="3" max="3" width="34.42578125" style="1" bestFit="1" customWidth="1"/>
    <col min="4" max="4" width="40" style="1" customWidth="1"/>
    <col min="5" max="5" width="36.28515625" style="1" customWidth="1"/>
    <col min="6" max="6" width="32.7109375" style="1" bestFit="1" customWidth="1"/>
    <col min="7" max="7" width="37" style="1" customWidth="1"/>
    <col min="8" max="8" width="30.5703125" style="1" bestFit="1" customWidth="1"/>
    <col min="9" max="9" width="14.7109375" style="1" bestFit="1" customWidth="1"/>
    <col min="10" max="10" width="32.7109375" style="1" bestFit="1" customWidth="1"/>
    <col min="11" max="11" width="11.7109375" style="1" bestFit="1" customWidth="1"/>
    <col min="12" max="12" width="27.5703125" style="1" customWidth="1"/>
    <col min="13" max="13" width="11.42578125" style="1" customWidth="1"/>
    <col min="14" max="14" width="57" style="1" customWidth="1"/>
    <col min="15" max="16384" width="10.7109375" style="1"/>
  </cols>
  <sheetData>
    <row r="14" s="3" customFormat="1" x14ac:dyDescent="0.25"/>
    <row r="17" spans="2:7" ht="30" x14ac:dyDescent="0.4">
      <c r="B17" s="168" t="s">
        <v>101</v>
      </c>
      <c r="C17" s="168"/>
      <c r="D17" s="168"/>
      <c r="E17" s="168"/>
      <c r="F17" s="168"/>
      <c r="G17" s="168"/>
    </row>
    <row r="22" spans="2:7" ht="15.75" thickBot="1" x14ac:dyDescent="0.3"/>
    <row r="23" spans="2:7" ht="18" thickBot="1" x14ac:dyDescent="0.4">
      <c r="C23" s="169">
        <v>2026</v>
      </c>
      <c r="D23" s="169"/>
    </row>
    <row r="24" spans="2:7" ht="18" thickBot="1" x14ac:dyDescent="0.4">
      <c r="C24" s="29" t="s">
        <v>42</v>
      </c>
      <c r="D24" s="29" t="s">
        <v>43</v>
      </c>
    </row>
    <row r="25" spans="2:7" ht="15.75" thickBot="1" x14ac:dyDescent="0.3">
      <c r="C25" s="170">
        <v>46100</v>
      </c>
      <c r="D25" s="171" t="s">
        <v>256</v>
      </c>
    </row>
    <row r="26" spans="2:7" ht="15.75" thickBot="1" x14ac:dyDescent="0.3">
      <c r="C26" s="170">
        <v>46126</v>
      </c>
      <c r="D26" s="171" t="s">
        <v>257</v>
      </c>
    </row>
    <row r="27" spans="2:7" ht="15.75" thickBot="1" x14ac:dyDescent="0.3">
      <c r="C27" s="170">
        <v>46168</v>
      </c>
      <c r="D27" s="171" t="s">
        <v>251</v>
      </c>
    </row>
    <row r="28" spans="2:7" ht="15.75" thickBot="1" x14ac:dyDescent="0.3">
      <c r="C28" s="170">
        <v>46217</v>
      </c>
      <c r="D28" s="171" t="s">
        <v>252</v>
      </c>
    </row>
    <row r="29" spans="2:7" ht="15.75" thickBot="1" x14ac:dyDescent="0.3">
      <c r="C29" s="170">
        <v>46245</v>
      </c>
      <c r="D29" s="171" t="s">
        <v>253</v>
      </c>
    </row>
    <row r="30" spans="2:7" ht="15.75" thickBot="1" x14ac:dyDescent="0.3">
      <c r="C30" s="170">
        <v>46310</v>
      </c>
      <c r="D30" s="171" t="s">
        <v>254</v>
      </c>
    </row>
    <row r="31" spans="2:7" ht="15.75" thickBot="1" x14ac:dyDescent="0.3">
      <c r="C31" s="170">
        <v>46338</v>
      </c>
      <c r="D31" s="171" t="s">
        <v>255</v>
      </c>
    </row>
  </sheetData>
  <mergeCells count="2">
    <mergeCell ref="B17:G17"/>
    <mergeCell ref="C23:D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Atalaya Mining</vt:lpstr>
      <vt:lpstr>International Peer Analysis</vt:lpstr>
      <vt:lpstr>Financial Calendar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2026-05-12T13:40:33Z</dcterms:modified>
  <cp:category/>
  <cp:contentStatus/>
</cp:coreProperties>
</file>